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ood Gaming\Good Gaming\Financials\SEC Filings\2021\10K\"/>
    </mc:Choice>
  </mc:AlternateContent>
  <xr:revisionPtr revIDLastSave="0" documentId="13_ncr:1_{3E98AA7D-EE87-472F-BBB3-80C0ED078AB3}" xr6:coauthVersionLast="47" xr6:coauthVersionMax="47" xr10:uidLastSave="{00000000-0000-0000-0000-000000000000}"/>
  <bookViews>
    <workbookView xWindow="28680" yWindow="-120" windowWidth="29040" windowHeight="17640" tabRatio="797" activeTab="3" xr2:uid="{00000000-000D-0000-FFFF-FFFF00000000}"/>
  </bookViews>
  <sheets>
    <sheet name="Income Statement" sheetId="2" r:id="rId1"/>
    <sheet name="Balance Sheet" sheetId="1" r:id="rId2"/>
    <sheet name="Cash Flows - Final" sheetId="18" r:id="rId3"/>
    <sheet name="Shareholder Equity 2021 - 10K" sheetId="19" r:id="rId4"/>
    <sheet name="Shareholder Equity 2021- 10Q" sheetId="16" r:id="rId5"/>
    <sheet name="Shareholder Equity 2020 - 10Q" sheetId="14" r:id="rId6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8" l="1"/>
  <c r="E44" i="18"/>
  <c r="E31" i="18"/>
  <c r="E22" i="18"/>
  <c r="E23" i="18"/>
  <c r="G46" i="1"/>
  <c r="G45" i="1"/>
  <c r="G44" i="1"/>
  <c r="B12" i="2"/>
  <c r="U26" i="19"/>
  <c r="S26" i="19"/>
  <c r="K26" i="19"/>
  <c r="E26" i="19"/>
  <c r="C26" i="19"/>
  <c r="AI24" i="19"/>
  <c r="AI23" i="19"/>
  <c r="Y22" i="19"/>
  <c r="AI22" i="19" s="1"/>
  <c r="AE21" i="19"/>
  <c r="W21" i="19"/>
  <c r="Y21" i="19" s="1"/>
  <c r="AI21" i="19" s="1"/>
  <c r="AE20" i="19"/>
  <c r="AI20" i="19" s="1"/>
  <c r="AC20" i="19"/>
  <c r="AA20" i="19"/>
  <c r="AA26" i="19" s="1"/>
  <c r="AE19" i="19"/>
  <c r="Y19" i="19"/>
  <c r="AI19" i="19" s="1"/>
  <c r="AI18" i="19"/>
  <c r="AI17" i="19"/>
  <c r="AI16" i="19"/>
  <c r="AE16" i="19"/>
  <c r="AE15" i="19"/>
  <c r="AI15" i="19" s="1"/>
  <c r="Y15" i="19"/>
  <c r="W15" i="19"/>
  <c r="I15" i="19"/>
  <c r="G15" i="19"/>
  <c r="AG14" i="19"/>
  <c r="AG26" i="19" s="1"/>
  <c r="AC14" i="19"/>
  <c r="AC26" i="19" s="1"/>
  <c r="AA14" i="19"/>
  <c r="W14" i="19"/>
  <c r="W26" i="19" s="1"/>
  <c r="U14" i="19"/>
  <c r="S14" i="19"/>
  <c r="Q14" i="19"/>
  <c r="Q26" i="19" s="1"/>
  <c r="O14" i="19"/>
  <c r="O26" i="19" s="1"/>
  <c r="M14" i="19"/>
  <c r="M26" i="19" s="1"/>
  <c r="K14" i="19"/>
  <c r="I14" i="19"/>
  <c r="I26" i="19" s="1"/>
  <c r="G14" i="19"/>
  <c r="G26" i="19" s="1"/>
  <c r="E14" i="19"/>
  <c r="C14" i="19"/>
  <c r="AI12" i="19"/>
  <c r="AE11" i="19"/>
  <c r="AI11" i="19" s="1"/>
  <c r="Y11" i="19"/>
  <c r="AE10" i="19"/>
  <c r="AE14" i="19" s="1"/>
  <c r="AE26" i="19" s="1"/>
  <c r="Y10" i="19"/>
  <c r="Y14" i="19" s="1"/>
  <c r="Y26" i="19" s="1"/>
  <c r="AI10" i="19" l="1"/>
  <c r="AI14" i="19" s="1"/>
  <c r="AI26" i="19" s="1"/>
  <c r="I29" i="1"/>
  <c r="I46" i="1"/>
  <c r="I47" i="1"/>
  <c r="E52" i="18"/>
  <c r="B23" i="2"/>
  <c r="B21" i="2"/>
  <c r="D25" i="2"/>
  <c r="J9" i="2"/>
  <c r="K4" i="2"/>
  <c r="E17" i="18" l="1"/>
  <c r="G48" i="18"/>
  <c r="G35" i="18"/>
  <c r="E35" i="18"/>
  <c r="I35" i="18" s="1"/>
  <c r="J35" i="18" s="1"/>
  <c r="G26" i="18"/>
  <c r="G50" i="18" s="1"/>
  <c r="G54" i="18" s="1"/>
  <c r="E16" i="18"/>
  <c r="E15" i="18"/>
  <c r="E14" i="18"/>
  <c r="E48" i="18" l="1"/>
  <c r="I48" i="18" s="1"/>
  <c r="J48" i="18" s="1"/>
  <c r="G18" i="1" l="1"/>
  <c r="G13" i="1"/>
  <c r="B9" i="2"/>
  <c r="F9" i="2"/>
  <c r="AA23" i="16"/>
  <c r="AA24" i="16"/>
  <c r="AA17" i="16"/>
  <c r="AA22" i="16"/>
  <c r="D20" i="16"/>
  <c r="D26" i="16" s="1"/>
  <c r="F20" i="16"/>
  <c r="F26" i="16" s="1"/>
  <c r="H20" i="16"/>
  <c r="H26" i="16" s="1"/>
  <c r="J20" i="16"/>
  <c r="J26" i="16" s="1"/>
  <c r="L20" i="16"/>
  <c r="L26" i="16" s="1"/>
  <c r="N20" i="16"/>
  <c r="N26" i="16" s="1"/>
  <c r="P20" i="16"/>
  <c r="P26" i="16" s="1"/>
  <c r="R20" i="16"/>
  <c r="R26" i="16" s="1"/>
  <c r="T20" i="16"/>
  <c r="T26" i="16" s="1"/>
  <c r="V20" i="16"/>
  <c r="V26" i="16" s="1"/>
  <c r="X20" i="16"/>
  <c r="X26" i="16" s="1"/>
  <c r="Z20" i="16"/>
  <c r="Z26" i="16" s="1"/>
  <c r="J4" i="2" l="1"/>
  <c r="AA19" i="16" l="1"/>
  <c r="AA18" i="16"/>
  <c r="F23" i="2"/>
  <c r="Y15" i="16" l="1"/>
  <c r="Y20" i="16" s="1"/>
  <c r="Y26" i="16" s="1"/>
  <c r="W15" i="16"/>
  <c r="W20" i="16" s="1"/>
  <c r="W26" i="16" s="1"/>
  <c r="U15" i="16"/>
  <c r="U20" i="16" s="1"/>
  <c r="U26" i="16" s="1"/>
  <c r="S15" i="16"/>
  <c r="S20" i="16" s="1"/>
  <c r="S26" i="16" s="1"/>
  <c r="Q15" i="16"/>
  <c r="Q20" i="16" s="1"/>
  <c r="Q26" i="16" s="1"/>
  <c r="O15" i="16"/>
  <c r="O20" i="16" s="1"/>
  <c r="O26" i="16" s="1"/>
  <c r="M15" i="16"/>
  <c r="M20" i="16" s="1"/>
  <c r="M26" i="16" s="1"/>
  <c r="K15" i="16"/>
  <c r="K20" i="16" s="1"/>
  <c r="K26" i="16" s="1"/>
  <c r="I15" i="16"/>
  <c r="I20" i="16" s="1"/>
  <c r="I26" i="16" s="1"/>
  <c r="G15" i="16"/>
  <c r="G20" i="16" s="1"/>
  <c r="G26" i="16" s="1"/>
  <c r="E15" i="16"/>
  <c r="E20" i="16" s="1"/>
  <c r="E26" i="16" s="1"/>
  <c r="C15" i="16"/>
  <c r="C20" i="16" s="1"/>
  <c r="C26" i="16" s="1"/>
  <c r="AA13" i="16"/>
  <c r="AA12" i="16"/>
  <c r="AA15" i="16" s="1"/>
  <c r="AA20" i="16" s="1"/>
  <c r="AA26" i="16" s="1"/>
  <c r="I45" i="1" l="1"/>
  <c r="I18" i="1"/>
  <c r="I13" i="1"/>
  <c r="F13" i="2"/>
  <c r="H23" i="2"/>
  <c r="H13" i="2"/>
  <c r="H6" i="2"/>
  <c r="F6" i="2"/>
  <c r="H14" i="2" l="1"/>
  <c r="H25" i="2" s="1"/>
  <c r="H27" i="2" s="1"/>
  <c r="F14" i="2"/>
  <c r="F25" i="2" s="1"/>
  <c r="F27" i="2" l="1"/>
  <c r="Y15" i="14"/>
  <c r="W15" i="14"/>
  <c r="U15" i="14"/>
  <c r="S15" i="14"/>
  <c r="Q15" i="14"/>
  <c r="O15" i="14"/>
  <c r="M15" i="14"/>
  <c r="K15" i="14"/>
  <c r="I15" i="14"/>
  <c r="G15" i="14"/>
  <c r="E15" i="14"/>
  <c r="C15" i="14"/>
  <c r="AA13" i="14"/>
  <c r="AA12" i="14"/>
  <c r="AA10" i="14"/>
  <c r="AA15" i="14" l="1"/>
  <c r="M4" i="2" l="1"/>
  <c r="N4" i="2" s="1"/>
  <c r="D23" i="2" l="1"/>
  <c r="M13" i="2" l="1"/>
  <c r="N13" i="2" s="1"/>
  <c r="M25" i="2" l="1"/>
  <c r="N25" i="2" s="1"/>
  <c r="G23" i="1" l="1"/>
  <c r="G47" i="1"/>
  <c r="B13" i="2"/>
  <c r="G10" i="1"/>
  <c r="G27" i="1"/>
  <c r="I23" i="1"/>
  <c r="I27" i="1"/>
  <c r="I10" i="1"/>
  <c r="I15" i="1" s="1"/>
  <c r="D13" i="2"/>
  <c r="B6" i="2"/>
  <c r="D6" i="2"/>
  <c r="J13" i="2" l="1"/>
  <c r="K13" i="2" s="1"/>
  <c r="G15" i="1"/>
  <c r="N32" i="1"/>
  <c r="D14" i="2"/>
  <c r="G29" i="1"/>
  <c r="G48" i="1" s="1"/>
  <c r="B14" i="2"/>
  <c r="B25" i="2" s="1"/>
  <c r="E9" i="18" s="1"/>
  <c r="E26" i="18" s="1"/>
  <c r="I26" i="18" l="1"/>
  <c r="J26" i="18" s="1"/>
  <c r="E50" i="18"/>
  <c r="I48" i="1"/>
  <c r="I53" i="1" s="1"/>
  <c r="D27" i="2"/>
  <c r="J25" i="2"/>
  <c r="K25" i="2" s="1"/>
  <c r="B27" i="2"/>
  <c r="G53" i="1"/>
  <c r="E54" i="18" l="1"/>
  <c r="E69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G13" authorId="0" shapeId="0" xr:uid="{13B284F1-7D03-4DD0-AF43-C6644A8D2984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Software Assets and Fixed Assets
</t>
        </r>
      </text>
    </comment>
    <comment ref="L49" authorId="0" shapeId="0" xr:uid="{789EAD58-75CC-42B5-8440-E5D956D34F5F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Audit adjustment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Divya Pandey</author>
  </authors>
  <commentList>
    <comment ref="J53" authorId="0" shapeId="0" xr:uid="{ADD540BC-D782-42EA-B611-372736BA8CB0}">
      <text>
        <r>
          <rPr>
            <b/>
            <sz val="9"/>
            <color indexed="81"/>
            <rFont val="Tahoma"/>
            <family val="2"/>
          </rPr>
          <t>Divya Pandey:</t>
        </r>
        <r>
          <rPr>
            <sz val="9"/>
            <color indexed="81"/>
            <rFont val="Tahoma"/>
            <family val="2"/>
          </rPr>
          <t xml:space="preserve">
$258 Adjustment to Viaone
</t>
        </r>
      </text>
    </comment>
  </commentList>
</comments>
</file>

<file path=xl/sharedStrings.xml><?xml version="1.0" encoding="utf-8"?>
<sst xmlns="http://schemas.openxmlformats.org/spreadsheetml/2006/main" count="245" uniqueCount="156">
  <si>
    <t>Total Liabilities</t>
  </si>
  <si>
    <t>Total Current Liabilities</t>
  </si>
  <si>
    <t>Current Liabilities</t>
  </si>
  <si>
    <t>TOTAL ASSETS</t>
  </si>
  <si>
    <t>Total Current Assets</t>
  </si>
  <si>
    <t xml:space="preserve">  Current Assets</t>
  </si>
  <si>
    <t>ASSETS</t>
  </si>
  <si>
    <t>Gross Profit</t>
  </si>
  <si>
    <t xml:space="preserve">Operating Expenses </t>
  </si>
  <si>
    <t>Operating Activities</t>
  </si>
  <si>
    <t>Investing Activities</t>
  </si>
  <si>
    <t>Financing Activities</t>
  </si>
  <si>
    <t>Common Stock</t>
  </si>
  <si>
    <t>Accumulated Deficit</t>
  </si>
  <si>
    <t>Additional Paid-In Capital</t>
  </si>
  <si>
    <t xml:space="preserve">    Net Cash Used In Operating Activities</t>
  </si>
  <si>
    <t>Net Cash Provided By (Used in) Operating Activities</t>
  </si>
  <si>
    <t>Net Cash Provided By (Used in) Investing Activities</t>
  </si>
  <si>
    <t xml:space="preserve">          Due To ViaOne Services</t>
  </si>
  <si>
    <t>Net Cash Provided By (Used In) Financing Activities</t>
  </si>
  <si>
    <t>Non-Cash Investing And Financing Activities</t>
  </si>
  <si>
    <t>Revenues</t>
  </si>
  <si>
    <t>Cost of Revenues</t>
  </si>
  <si>
    <t>Other Income (Expense)</t>
  </si>
  <si>
    <t xml:space="preserve">     Interest Income</t>
  </si>
  <si>
    <t xml:space="preserve">     Interest Expense</t>
  </si>
  <si>
    <t xml:space="preserve">     Professional Fees</t>
  </si>
  <si>
    <t xml:space="preserve">     Contract Labor</t>
  </si>
  <si>
    <t xml:space="preserve">     General &amp; Administrative</t>
  </si>
  <si>
    <t>Class A Preferred Stock</t>
  </si>
  <si>
    <t xml:space="preserve">Class B Preferred Stock </t>
  </si>
  <si>
    <t>Class C Preferred Stock</t>
  </si>
  <si>
    <t>Weighted Average Shares Outstanding</t>
  </si>
  <si>
    <t xml:space="preserve">          Change In Fair Value Of Derivative Liability</t>
  </si>
  <si>
    <t>Derivative Liability</t>
  </si>
  <si>
    <t>Notes Payable</t>
  </si>
  <si>
    <t>Gaming Software, Net</t>
  </si>
  <si>
    <t xml:space="preserve">          Changes in operating assets and liabilities</t>
  </si>
  <si>
    <t xml:space="preserve">          Proceeds From Sale Of Preferred Stock CL D</t>
  </si>
  <si>
    <t>Due from Affliate</t>
  </si>
  <si>
    <t>Convertible Debentures, long term</t>
  </si>
  <si>
    <t>Convertible Debentures, current</t>
  </si>
  <si>
    <t>Accounts Payable and Accrued Expenses</t>
  </si>
  <si>
    <t>Authorized: 2,000,000 Preferred Shares, With a Par Value of $0.001 Per Share Issued and Outstanding: 7,500 Shares</t>
  </si>
  <si>
    <t xml:space="preserve">     Depreciation and Amortization Expense</t>
  </si>
  <si>
    <t xml:space="preserve">     Gain (Loss) on Change in Fair Value of Derivative Liability</t>
  </si>
  <si>
    <t>Class D Preferred Stock</t>
  </si>
  <si>
    <t>Total Operating Expenses</t>
  </si>
  <si>
    <t>Operating Loss</t>
  </si>
  <si>
    <t>Total Other Income (Loss)</t>
  </si>
  <si>
    <t xml:space="preserve">          Depreciation and Amortization</t>
  </si>
  <si>
    <t>Adjustment To Reconcile Net Loss to</t>
  </si>
  <si>
    <t>Cash and Cash Equivalents</t>
  </si>
  <si>
    <t>Change in Cash and Cash Equivalents</t>
  </si>
  <si>
    <t>LIABILITIES &amp; STOCKHOLDERS' DEFICIT</t>
  </si>
  <si>
    <t>Stockholders' Deficit</t>
  </si>
  <si>
    <t>Total Stockholders' Deficit</t>
  </si>
  <si>
    <t>TOTAL LIABILITIES &amp; STOCKHOLDER'S DEFICIT</t>
  </si>
  <si>
    <t>Net Income (Loss) Per Share, Basic and Diluted</t>
  </si>
  <si>
    <t>Net Income (Loss)</t>
  </si>
  <si>
    <t>Prepaid expenses</t>
  </si>
  <si>
    <t xml:space="preserve">               Prepaid expenses</t>
  </si>
  <si>
    <t>Supplemental disclosure of cash flow information</t>
  </si>
  <si>
    <t xml:space="preserve">           Cash paid for interest</t>
  </si>
  <si>
    <t xml:space="preserve">           Cash paid for taxes</t>
  </si>
  <si>
    <t xml:space="preserve">Property and Equipment, Net </t>
  </si>
  <si>
    <t>Notes Payable Related Party- ViaOne Services</t>
  </si>
  <si>
    <t>Good Gaming, Inc.
Consolidated Balance Sheets
(Expressed in U.S. Dollars)
(Unaudited)</t>
  </si>
  <si>
    <t>Good Gaming, Inc
Consolidated Statement of Operations
(Expressed in U.S Dollars)
(Unaudited)</t>
  </si>
  <si>
    <t>Good Gaming, Inc
Consolidated Statements of Cash Flows
(Expressed in U.S Dollars)
(Unaudited)</t>
  </si>
  <si>
    <t>Purchase of Property and Equipment</t>
  </si>
  <si>
    <t>The accompanying notes are an integral part of these consolidated financial statements</t>
  </si>
  <si>
    <t>Cash and Cash Equivalents, Beginning Of Period</t>
  </si>
  <si>
    <t>Cash and Cash Equivalents, End Of Period</t>
  </si>
  <si>
    <t>Working Capital</t>
  </si>
  <si>
    <t xml:space="preserve">    Gain on Debt Settlement</t>
  </si>
  <si>
    <t xml:space="preserve">               Accounts Payable</t>
  </si>
  <si>
    <t xml:space="preserve">    Loss on Stock Conversion</t>
  </si>
  <si>
    <t>Good Gaming, Inc.</t>
  </si>
  <si>
    <t>Statements of Stockholders' Equity (Deficit)</t>
  </si>
  <si>
    <t>(Expressed in U. S. Dollars)</t>
  </si>
  <si>
    <t>Preferred Stock</t>
  </si>
  <si>
    <t>Additional</t>
  </si>
  <si>
    <t>Class A</t>
  </si>
  <si>
    <t>Class B</t>
  </si>
  <si>
    <t> Class C</t>
  </si>
  <si>
    <t> Class D</t>
  </si>
  <si>
    <t>Paid-in</t>
  </si>
  <si>
    <t>Accumulated</t>
  </si>
  <si>
    <t>Shares</t>
  </si>
  <si>
    <t>Amount</t>
  </si>
  <si>
    <t> Shares</t>
  </si>
  <si>
    <t> Amount</t>
  </si>
  <si>
    <t>Capital</t>
  </si>
  <si>
    <t>Deficit</t>
  </si>
  <si>
    <t>Total</t>
  </si>
  <si>
    <t> -</t>
  </si>
  <si>
    <t>The accompanying notes are an integral part of these financial statements</t>
  </si>
  <si>
    <t>Conversion of preferred shares B to common shares</t>
  </si>
  <si>
    <t xml:space="preserve">     Loss on disposal of fixed assets</t>
  </si>
  <si>
    <t xml:space="preserve">          Loss on disposal of fixed assets</t>
  </si>
  <si>
    <t>Authorized: 1 Preferred Shares, With a Par Value of $0.001 Per Share Issued and Outstanding: 1 Share</t>
  </si>
  <si>
    <t>Authorized: Authorized: 350 Preferred Shares, With a Par Value of $0.001 Per Share Issued and Outstanding: 0 and 350 Shares, respectively</t>
  </si>
  <si>
    <t>Net loss</t>
  </si>
  <si>
    <t>Selling Property and Equipment</t>
  </si>
  <si>
    <t xml:space="preserve">          Gain on debt settlement</t>
  </si>
  <si>
    <t xml:space="preserve">          Repayments of Preferred Stock Series D</t>
  </si>
  <si>
    <t>2020</t>
  </si>
  <si>
    <t>Balance, December 31, 2019</t>
  </si>
  <si>
    <t> Balance, March 31, 2020</t>
  </si>
  <si>
    <t>December 31, 2020</t>
  </si>
  <si>
    <t>2021</t>
  </si>
  <si>
    <t>Balance, December 31, 2020</t>
  </si>
  <si>
    <t> Balance, March 31, 2021</t>
  </si>
  <si>
    <t>Net Gain</t>
  </si>
  <si>
    <t xml:space="preserve">      Digital Assets</t>
  </si>
  <si>
    <t xml:space="preserve">          Digital Assets</t>
  </si>
  <si>
    <t> Balance, June 30, 2020</t>
  </si>
  <si>
    <t>Conversion of Convertible Notes</t>
  </si>
  <si>
    <t>Purchase of Digital Assets</t>
  </si>
  <si>
    <t>For the Nine months ended
September 30</t>
  </si>
  <si>
    <t xml:space="preserve">          Stock based compensation</t>
  </si>
  <si>
    <t> Balance, September 30, 2020</t>
  </si>
  <si>
    <t>Stock Based Compensation</t>
  </si>
  <si>
    <t xml:space="preserve">          Conversion of Preferred Stock CL B to Common</t>
  </si>
  <si>
    <t xml:space="preserve">          Conversion of Debt to Common shares</t>
  </si>
  <si>
    <t> Balance, June 30, 2021</t>
  </si>
  <si>
    <t> Balance, September 30, 2021</t>
  </si>
  <si>
    <t>For the Year Ended
December 31</t>
  </si>
  <si>
    <t>December 31, 2021</t>
  </si>
  <si>
    <t>Class E Preferred Stock</t>
  </si>
  <si>
    <t>Warrant</t>
  </si>
  <si>
    <t>For the Year Ended December 31,</t>
  </si>
  <si>
    <t>Authorized: 249,999 Preferred Shares, With a Par Value of $0.001 Per Share Issued and Outstanding: 20,296 Shares</t>
  </si>
  <si>
    <t>Authorized: 200,000,000 Common Shares, With a Par Value of $0.001 Per Share Issued and Outstanding: 103,526,044</t>
  </si>
  <si>
    <t xml:space="preserve">          Conversion of Debt to Preferred Stock CL E shares</t>
  </si>
  <si>
    <t xml:space="preserve">          Conversion of Debt to Preferred Stock CL B shares</t>
  </si>
  <si>
    <t>Selling Digital Assets</t>
  </si>
  <si>
    <t> Balance, December 31, 2020</t>
  </si>
  <si>
    <t> Balance, December 31, 2021</t>
  </si>
  <si>
    <t xml:space="preserve">          Proceeds from issuance of warrants</t>
  </si>
  <si>
    <t xml:space="preserve">          Proceeds from investments</t>
  </si>
  <si>
    <t xml:space="preserve">          Gain on Digital Assets</t>
  </si>
  <si>
    <t>Conversion of Debt to Preferred Stock CL E shares</t>
  </si>
  <si>
    <t> Class E</t>
  </si>
  <si>
    <t>Conversion of Debt to Preferred Stock CL B shares</t>
  </si>
  <si>
    <t>Conversion of Debt to Common shares</t>
  </si>
  <si>
    <t>Proceeds from issuance of warrants</t>
  </si>
  <si>
    <t>Warrants</t>
  </si>
  <si>
    <t xml:space="preserve">          Write-off Interest Payable</t>
  </si>
  <si>
    <t>Authorized: Authorized: 2,750,000 Preferred Shares, With a Par Value of $0.001 Per Share Issued and Outstanding: 57,663</t>
  </si>
  <si>
    <t xml:space="preserve">    Gain on Digital Assets</t>
  </si>
  <si>
    <t>Proceeds issuance of common stock</t>
  </si>
  <si>
    <t>Conversion of warrants to common stock</t>
  </si>
  <si>
    <t>Equity issuance costs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</si>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</sst>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"/>
    <numFmt numFmtId="165" formatCode="#,##0.00;\-#,##0.00"/>
    <numFmt numFmtId="166" formatCode="_(* #,##0_);_(* \(#,##0\);_(* &quot;-&quot;??_);_(@_)"/>
    <numFmt numFmtId="167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23232"/>
      <name val="Arial"/>
      <family val="2"/>
    </font>
    <font>
      <sz val="9"/>
      <color rgb="FF323232"/>
      <name val="Arial"/>
      <family val="2"/>
    </font>
    <font>
      <sz val="9"/>
      <color theme="1"/>
      <name val="Times New Roman"/>
      <family val="1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rgb="FF323232"/>
      <name val="Arial"/>
      <family val="2"/>
    </font>
    <font>
      <sz val="8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6">
    <xf numFmtId="0" fontId="0" fillId="0" borderId="0" xfId="0"/>
    <xf numFmtId="49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/>
    <xf numFmtId="0" fontId="5" fillId="0" borderId="0" xfId="0" applyFont="1"/>
    <xf numFmtId="0" fontId="6" fillId="0" borderId="0" xfId="0" applyFont="1"/>
    <xf numFmtId="165" fontId="8" fillId="0" borderId="0" xfId="0" applyNumberFormat="1" applyFont="1"/>
    <xf numFmtId="166" fontId="6" fillId="0" borderId="0" xfId="1" applyNumberFormat="1" applyFont="1"/>
    <xf numFmtId="166" fontId="8" fillId="0" borderId="0" xfId="1" applyNumberFormat="1" applyFont="1"/>
    <xf numFmtId="166" fontId="8" fillId="0" borderId="0" xfId="1" applyNumberFormat="1" applyFont="1" applyBorder="1"/>
    <xf numFmtId="166" fontId="8" fillId="0" borderId="0" xfId="1" applyNumberFormat="1" applyFont="1" applyFill="1"/>
    <xf numFmtId="166" fontId="8" fillId="0" borderId="0" xfId="1" applyNumberFormat="1" applyFont="1" applyFill="1" applyBorder="1"/>
    <xf numFmtId="0" fontId="9" fillId="0" borderId="0" xfId="0" applyFont="1" applyFill="1" applyAlignment="1">
      <alignment vertical="center" wrapText="1"/>
    </xf>
    <xf numFmtId="166" fontId="8" fillId="0" borderId="2" xfId="1" applyNumberFormat="1" applyFont="1" applyBorder="1"/>
    <xf numFmtId="167" fontId="8" fillId="0" borderId="0" xfId="3" applyNumberFormat="1" applyFont="1"/>
    <xf numFmtId="166" fontId="8" fillId="0" borderId="6" xfId="1" applyNumberFormat="1" applyFont="1" applyBorder="1"/>
    <xf numFmtId="166" fontId="8" fillId="0" borderId="6" xfId="1" applyNumberFormat="1" applyFont="1" applyFill="1" applyBorder="1"/>
    <xf numFmtId="0" fontId="0" fillId="0" borderId="0" xfId="0"/>
    <xf numFmtId="166" fontId="8" fillId="0" borderId="4" xfId="1" applyNumberFormat="1" applyFont="1" applyBorder="1"/>
    <xf numFmtId="49" fontId="7" fillId="2" borderId="0" xfId="0" applyNumberFormat="1" applyFont="1" applyFill="1" applyAlignment="1">
      <alignment wrapText="1"/>
    </xf>
    <xf numFmtId="0" fontId="6" fillId="2" borderId="0" xfId="0" applyFont="1" applyFill="1" applyBorder="1"/>
    <xf numFmtId="49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167" fontId="8" fillId="2" borderId="0" xfId="1" applyNumberFormat="1" applyFont="1" applyFill="1" applyBorder="1" applyAlignment="1">
      <alignment horizontal="center"/>
    </xf>
    <xf numFmtId="166" fontId="6" fillId="2" borderId="0" xfId="1" applyNumberFormat="1" applyFont="1" applyFill="1" applyBorder="1"/>
    <xf numFmtId="166" fontId="8" fillId="2" borderId="4" xfId="1" applyNumberFormat="1" applyFont="1" applyFill="1" applyBorder="1" applyAlignment="1">
      <alignment horizontal="center"/>
    </xf>
    <xf numFmtId="166" fontId="8" fillId="2" borderId="0" xfId="1" applyNumberFormat="1" applyFont="1" applyFill="1" applyAlignment="1">
      <alignment horizontal="center"/>
    </xf>
    <xf numFmtId="166" fontId="8" fillId="2" borderId="0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7" fontId="6" fillId="2" borderId="0" xfId="1" applyNumberFormat="1" applyFont="1" applyFill="1" applyBorder="1"/>
    <xf numFmtId="0" fontId="6" fillId="2" borderId="0" xfId="0" applyNumberFormat="1" applyFont="1" applyFill="1"/>
    <xf numFmtId="43" fontId="6" fillId="2" borderId="0" xfId="1" applyFont="1" applyFill="1"/>
    <xf numFmtId="166" fontId="6" fillId="2" borderId="0" xfId="1" applyNumberFormat="1" applyFont="1" applyFill="1"/>
    <xf numFmtId="0" fontId="12" fillId="2" borderId="0" xfId="0" applyFont="1" applyFill="1"/>
    <xf numFmtId="0" fontId="13" fillId="2" borderId="0" xfId="0" applyFont="1" applyFill="1"/>
    <xf numFmtId="0" fontId="11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/>
    <xf numFmtId="166" fontId="13" fillId="2" borderId="0" xfId="1" applyNumberFormat="1" applyFont="1" applyFill="1"/>
    <xf numFmtId="167" fontId="12" fillId="2" borderId="0" xfId="3" applyNumberFormat="1" applyFont="1" applyFill="1"/>
    <xf numFmtId="167" fontId="13" fillId="2" borderId="0" xfId="3" applyNumberFormat="1" applyFont="1" applyFill="1"/>
    <xf numFmtId="166" fontId="13" fillId="2" borderId="0" xfId="0" applyNumberFormat="1" applyFont="1" applyFill="1"/>
    <xf numFmtId="166" fontId="12" fillId="2" borderId="4" xfId="1" applyNumberFormat="1" applyFont="1" applyFill="1" applyBorder="1"/>
    <xf numFmtId="166" fontId="13" fillId="2" borderId="4" xfId="1" applyNumberFormat="1" applyFont="1" applyFill="1" applyBorder="1"/>
    <xf numFmtId="166" fontId="12" fillId="2" borderId="0" xfId="1" applyNumberFormat="1" applyFont="1" applyFill="1" applyBorder="1"/>
    <xf numFmtId="166" fontId="12" fillId="2" borderId="0" xfId="0" applyNumberFormat="1" applyFont="1" applyFill="1"/>
    <xf numFmtId="43" fontId="13" fillId="2" borderId="0" xfId="1" applyFont="1" applyFill="1"/>
    <xf numFmtId="167" fontId="12" fillId="2" borderId="8" xfId="0" applyNumberFormat="1" applyFont="1" applyFill="1" applyBorder="1"/>
    <xf numFmtId="167" fontId="13" fillId="2" borderId="0" xfId="0" applyNumberFormat="1" applyFont="1" applyFill="1"/>
    <xf numFmtId="43" fontId="12" fillId="2" borderId="0" xfId="0" applyNumberFormat="1" applyFont="1" applyFill="1"/>
    <xf numFmtId="167" fontId="12" fillId="2" borderId="0" xfId="0" applyNumberFormat="1" applyFont="1" applyFill="1"/>
    <xf numFmtId="0" fontId="11" fillId="2" borderId="0" xfId="0" applyFont="1" applyFill="1" applyAlignment="1">
      <alignment horizontal="center"/>
    </xf>
    <xf numFmtId="167" fontId="0" fillId="0" borderId="0" xfId="0" applyNumberFormat="1"/>
    <xf numFmtId="166" fontId="13" fillId="2" borderId="6" xfId="1" applyNumberFormat="1" applyFont="1" applyFill="1" applyBorder="1"/>
    <xf numFmtId="0" fontId="0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 indent="2"/>
    </xf>
    <xf numFmtId="167" fontId="8" fillId="0" borderId="1" xfId="3" applyNumberFormat="1" applyFont="1" applyBorder="1"/>
    <xf numFmtId="0" fontId="8" fillId="0" borderId="0" xfId="0" applyNumberFormat="1" applyFont="1" applyAlignment="1">
      <alignment horizontal="left" indent="2"/>
    </xf>
    <xf numFmtId="0" fontId="13" fillId="0" borderId="0" xfId="0" applyFont="1" applyFill="1" applyAlignment="1">
      <alignment horizontal="left" vertical="center" wrapText="1" indent="3"/>
    </xf>
    <xf numFmtId="167" fontId="8" fillId="0" borderId="9" xfId="3" applyNumberFormat="1" applyFont="1" applyFill="1" applyBorder="1"/>
    <xf numFmtId="0" fontId="14" fillId="0" borderId="0" xfId="0" applyNumberFormat="1" applyFont="1"/>
    <xf numFmtId="164" fontId="0" fillId="0" borderId="0" xfId="0" applyNumberFormat="1" applyFont="1"/>
    <xf numFmtId="49" fontId="8" fillId="2" borderId="0" xfId="0" applyNumberFormat="1" applyFont="1" applyFill="1"/>
    <xf numFmtId="167" fontId="8" fillId="2" borderId="8" xfId="1" applyNumberFormat="1" applyFont="1" applyFill="1" applyBorder="1" applyAlignment="1">
      <alignment horizontal="center"/>
    </xf>
    <xf numFmtId="0" fontId="8" fillId="2" borderId="0" xfId="0" applyNumberFormat="1" applyFont="1" applyFill="1"/>
    <xf numFmtId="44" fontId="8" fillId="2" borderId="8" xfId="3" applyFont="1" applyFill="1" applyBorder="1"/>
    <xf numFmtId="166" fontId="8" fillId="2" borderId="8" xfId="1" applyNumberFormat="1" applyFont="1" applyFill="1" applyBorder="1"/>
    <xf numFmtId="167" fontId="8" fillId="2" borderId="0" xfId="3" applyNumberFormat="1" applyFont="1" applyFill="1"/>
    <xf numFmtId="43" fontId="0" fillId="0" borderId="0" xfId="1" applyFont="1"/>
    <xf numFmtId="44" fontId="0" fillId="0" borderId="0" xfId="3" applyFont="1"/>
    <xf numFmtId="14" fontId="0" fillId="0" borderId="0" xfId="0" applyNumberFormat="1"/>
    <xf numFmtId="167" fontId="6" fillId="2" borderId="0" xfId="0" applyNumberFormat="1" applyFont="1" applyFill="1" applyBorder="1"/>
    <xf numFmtId="0" fontId="10" fillId="2" borderId="0" xfId="0" applyFont="1" applyFill="1" applyAlignment="1">
      <alignment horizontal="left" vertical="center"/>
    </xf>
    <xf numFmtId="166" fontId="13" fillId="2" borderId="0" xfId="1" applyNumberFormat="1" applyFont="1" applyFill="1" applyAlignment="1">
      <alignment horizontal="left"/>
    </xf>
    <xf numFmtId="0" fontId="13" fillId="2" borderId="0" xfId="0" applyFont="1" applyFill="1" applyAlignment="1">
      <alignment wrapText="1"/>
    </xf>
    <xf numFmtId="166" fontId="13" fillId="2" borderId="0" xfId="1" applyNumberFormat="1" applyFont="1" applyFill="1" applyAlignment="1">
      <alignment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166" fontId="13" fillId="2" borderId="0" xfId="1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vertical="center" wrapText="1"/>
    </xf>
    <xf numFmtId="166" fontId="13" fillId="2" borderId="10" xfId="1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vertical="center" wrapText="1"/>
    </xf>
    <xf numFmtId="166" fontId="13" fillId="2" borderId="10" xfId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43" fontId="13" fillId="2" borderId="0" xfId="1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166" fontId="13" fillId="2" borderId="0" xfId="1" applyNumberFormat="1" applyFont="1" applyFill="1" applyAlignment="1">
      <alignment horizontal="left" wrapText="1"/>
    </xf>
    <xf numFmtId="166" fontId="13" fillId="2" borderId="10" xfId="1" applyNumberFormat="1" applyFont="1" applyFill="1" applyBorder="1" applyAlignment="1">
      <alignment horizontal="left"/>
    </xf>
    <xf numFmtId="166" fontId="13" fillId="2" borderId="0" xfId="1" applyNumberFormat="1" applyFont="1" applyFill="1" applyAlignment="1">
      <alignment horizontal="right"/>
    </xf>
    <xf numFmtId="0" fontId="13" fillId="2" borderId="0" xfId="0" applyFont="1" applyFill="1" applyAlignment="1">
      <alignment horizontal="right" wrapText="1"/>
    </xf>
    <xf numFmtId="43" fontId="13" fillId="2" borderId="0" xfId="0" applyNumberFormat="1" applyFont="1" applyFill="1"/>
    <xf numFmtId="44" fontId="13" fillId="2" borderId="0" xfId="0" applyNumberFormat="1" applyFont="1" applyFill="1"/>
    <xf numFmtId="166" fontId="13" fillId="2" borderId="0" xfId="1" applyNumberFormat="1" applyFont="1" applyFill="1" applyAlignment="1">
      <alignment horizontal="center"/>
    </xf>
    <xf numFmtId="166" fontId="8" fillId="0" borderId="8" xfId="1" applyNumberFormat="1" applyFont="1" applyFill="1" applyBorder="1"/>
    <xf numFmtId="166" fontId="6" fillId="0" borderId="0" xfId="1" applyNumberFormat="1" applyFont="1" applyFill="1"/>
    <xf numFmtId="0" fontId="6" fillId="0" borderId="0" xfId="0" applyFont="1" applyFill="1" applyBorder="1"/>
    <xf numFmtId="166" fontId="13" fillId="2" borderId="0" xfId="1" applyNumberFormat="1" applyFont="1" applyFill="1" applyAlignment="1">
      <alignment horizontal="center" vertical="center"/>
    </xf>
    <xf numFmtId="43" fontId="13" fillId="2" borderId="0" xfId="1" applyFont="1" applyFill="1" applyAlignment="1">
      <alignment horizontal="center" vertical="center" wrapText="1"/>
    </xf>
    <xf numFmtId="166" fontId="13" fillId="2" borderId="0" xfId="1" applyNumberFormat="1" applyFont="1" applyFill="1" applyAlignment="1">
      <alignment horizontal="center" vertical="center" wrapText="1"/>
    </xf>
    <xf numFmtId="167" fontId="13" fillId="2" borderId="0" xfId="3" applyNumberFormat="1" applyFont="1" applyFill="1" applyAlignment="1">
      <alignment horizontal="center" vertical="center"/>
    </xf>
    <xf numFmtId="167" fontId="13" fillId="2" borderId="0" xfId="3" applyNumberFormat="1" applyFont="1" applyFill="1" applyAlignment="1">
      <alignment wrapText="1"/>
    </xf>
    <xf numFmtId="0" fontId="13" fillId="2" borderId="0" xfId="0" applyFont="1" applyFill="1" applyAlignment="1">
      <alignment horizontal="center"/>
    </xf>
    <xf numFmtId="166" fontId="13" fillId="2" borderId="10" xfId="1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166" fontId="13" fillId="2" borderId="10" xfId="1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167" fontId="13" fillId="2" borderId="10" xfId="3" applyNumberFormat="1" applyFont="1" applyFill="1" applyBorder="1" applyAlignment="1">
      <alignment horizontal="left"/>
    </xf>
    <xf numFmtId="167" fontId="13" fillId="2" borderId="0" xfId="3" applyNumberFormat="1" applyFont="1" applyFill="1" applyBorder="1" applyAlignment="1">
      <alignment horizontal="left"/>
    </xf>
    <xf numFmtId="166" fontId="13" fillId="2" borderId="0" xfId="1" applyNumberFormat="1" applyFont="1" applyFill="1" applyBorder="1" applyAlignment="1">
      <alignment horizontal="right"/>
    </xf>
    <xf numFmtId="0" fontId="13" fillId="2" borderId="0" xfId="0" applyFont="1" applyFill="1"/>
    <xf numFmtId="167" fontId="13" fillId="2" borderId="0" xfId="0" applyNumberFormat="1" applyFont="1" applyFill="1"/>
    <xf numFmtId="0" fontId="13" fillId="2" borderId="0" xfId="0" applyFont="1" applyFill="1" applyAlignment="1">
      <alignment horizontal="left"/>
    </xf>
    <xf numFmtId="44" fontId="13" fillId="2" borderId="0" xfId="0" applyNumberFormat="1" applyFont="1" applyFill="1"/>
    <xf numFmtId="9" fontId="6" fillId="2" borderId="0" xfId="4" applyFont="1" applyFill="1" applyBorder="1"/>
    <xf numFmtId="166" fontId="13" fillId="2" borderId="0" xfId="1" applyNumberFormat="1" applyFont="1" applyFill="1" applyBorder="1" applyAlignment="1">
      <alignment wrapText="1"/>
    </xf>
    <xf numFmtId="0" fontId="0" fillId="0" borderId="0" xfId="0"/>
    <xf numFmtId="0" fontId="13" fillId="2" borderId="0" xfId="0" applyFont="1" applyFill="1"/>
    <xf numFmtId="166" fontId="13" fillId="2" borderId="0" xfId="1" applyNumberFormat="1" applyFont="1" applyFill="1"/>
    <xf numFmtId="166" fontId="13" fillId="2" borderId="0" xfId="1" applyNumberFormat="1" applyFont="1" applyFill="1" applyBorder="1"/>
    <xf numFmtId="167" fontId="13" fillId="2" borderId="0" xfId="0" applyNumberFormat="1" applyFont="1" applyFill="1"/>
    <xf numFmtId="166" fontId="13" fillId="2" borderId="0" xfId="1" applyNumberFormat="1" applyFont="1" applyFill="1" applyAlignment="1">
      <alignment horizontal="left"/>
    </xf>
    <xf numFmtId="0" fontId="13" fillId="2" borderId="0" xfId="0" applyFont="1" applyFill="1" applyAlignment="1">
      <alignment wrapText="1"/>
    </xf>
    <xf numFmtId="166" fontId="13" fillId="2" borderId="0" xfId="1" applyNumberFormat="1" applyFont="1" applyFill="1" applyAlignment="1">
      <alignment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/>
    </xf>
    <xf numFmtId="43" fontId="13" fillId="2" borderId="0" xfId="1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166" fontId="13" fillId="2" borderId="0" xfId="1" applyNumberFormat="1" applyFont="1" applyFill="1" applyAlignment="1">
      <alignment horizontal="left" wrapText="1"/>
    </xf>
    <xf numFmtId="166" fontId="13" fillId="2" borderId="10" xfId="1" applyNumberFormat="1" applyFont="1" applyFill="1" applyBorder="1" applyAlignment="1">
      <alignment horizontal="left"/>
    </xf>
    <xf numFmtId="166" fontId="13" fillId="2" borderId="0" xfId="1" applyNumberFormat="1" applyFont="1" applyFill="1" applyAlignment="1">
      <alignment horizontal="right"/>
    </xf>
    <xf numFmtId="0" fontId="13" fillId="2" borderId="0" xfId="0" applyFont="1" applyFill="1" applyAlignment="1">
      <alignment horizontal="right" wrapText="1"/>
    </xf>
    <xf numFmtId="44" fontId="13" fillId="2" borderId="0" xfId="0" applyNumberFormat="1" applyFont="1" applyFill="1"/>
    <xf numFmtId="167" fontId="13" fillId="2" borderId="0" xfId="3" applyNumberFormat="1" applyFont="1" applyFill="1" applyAlignment="1">
      <alignment horizontal="center" vertical="center"/>
    </xf>
    <xf numFmtId="167" fontId="13" fillId="2" borderId="0" xfId="3" applyNumberFormat="1" applyFont="1" applyFill="1" applyAlignment="1">
      <alignment horizontal="left"/>
    </xf>
    <xf numFmtId="166" fontId="13" fillId="2" borderId="0" xfId="1" applyNumberFormat="1" applyFont="1" applyFill="1" applyBorder="1" applyAlignment="1">
      <alignment horizontal="left"/>
    </xf>
    <xf numFmtId="0" fontId="13" fillId="2" borderId="0" xfId="0" applyFont="1" applyFill="1"/>
    <xf numFmtId="167" fontId="13" fillId="2" borderId="0" xfId="3" applyNumberFormat="1" applyFont="1" applyFill="1" applyAlignment="1">
      <alignment horizontal="center" vertical="center"/>
    </xf>
    <xf numFmtId="166" fontId="13" fillId="2" borderId="0" xfId="1" applyNumberFormat="1" applyFont="1" applyFill="1" applyBorder="1" applyAlignment="1">
      <alignment horizontal="left"/>
    </xf>
    <xf numFmtId="166" fontId="13" fillId="2" borderId="0" xfId="1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/>
    <xf numFmtId="166" fontId="12" fillId="2" borderId="0" xfId="1" applyNumberFormat="1" applyFont="1" applyFill="1"/>
    <xf numFmtId="166" fontId="13" fillId="2" borderId="0" xfId="1" applyNumberFormat="1" applyFont="1" applyFill="1"/>
    <xf numFmtId="166" fontId="13" fillId="2" borderId="0" xfId="1" applyNumberFormat="1" applyFont="1" applyFill="1" applyBorder="1"/>
    <xf numFmtId="0" fontId="13" fillId="2" borderId="0" xfId="0" applyFont="1" applyFill="1" applyAlignment="1">
      <alignment horizontal="left" indent="3"/>
    </xf>
    <xf numFmtId="166" fontId="13" fillId="2" borderId="0" xfId="1" applyNumberFormat="1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/>
    </xf>
    <xf numFmtId="43" fontId="13" fillId="2" borderId="0" xfId="1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166" fontId="13" fillId="2" borderId="0" xfId="1" applyNumberFormat="1" applyFont="1" applyFill="1" applyAlignment="1">
      <alignment horizontal="left" wrapText="1"/>
    </xf>
    <xf numFmtId="166" fontId="13" fillId="2" borderId="10" xfId="1" applyNumberFormat="1" applyFont="1" applyFill="1" applyBorder="1" applyAlignment="1">
      <alignment horizontal="left"/>
    </xf>
    <xf numFmtId="166" fontId="13" fillId="2" borderId="0" xfId="1" applyNumberFormat="1" applyFont="1" applyFill="1" applyAlignment="1">
      <alignment horizontal="right"/>
    </xf>
    <xf numFmtId="0" fontId="13" fillId="2" borderId="0" xfId="0" applyFont="1" applyFill="1" applyAlignment="1">
      <alignment horizontal="right" wrapText="1"/>
    </xf>
    <xf numFmtId="166" fontId="13" fillId="2" borderId="0" xfId="1" applyNumberFormat="1" applyFont="1" applyFill="1" applyBorder="1" applyAlignment="1">
      <alignment horizontal="left"/>
    </xf>
    <xf numFmtId="166" fontId="13" fillId="2" borderId="0" xfId="1" applyNumberFormat="1" applyFont="1" applyFill="1" applyBorder="1" applyAlignment="1">
      <alignment horizontal="right"/>
    </xf>
    <xf numFmtId="10" fontId="13" fillId="2" borderId="0" xfId="4" applyNumberFormat="1" applyFont="1" applyFill="1"/>
    <xf numFmtId="44" fontId="13" fillId="2" borderId="0" xfId="0" applyNumberFormat="1" applyFont="1" applyFill="1" applyBorder="1"/>
    <xf numFmtId="0" fontId="13" fillId="2" borderId="0" xfId="0" applyFont="1" applyFill="1" applyBorder="1" applyAlignment="1">
      <alignment horizontal="left"/>
    </xf>
    <xf numFmtId="0" fontId="0" fillId="0" borderId="0" xfId="0" applyBorder="1"/>
    <xf numFmtId="0" fontId="13" fillId="2" borderId="0" xfId="0" applyFont="1" applyFill="1" applyBorder="1"/>
    <xf numFmtId="0" fontId="0" fillId="0" borderId="0" xfId="0"/>
    <xf numFmtId="0" fontId="13" fillId="2" borderId="0" xfId="0" applyFont="1" applyFill="1"/>
    <xf numFmtId="166" fontId="13" fillId="2" borderId="0" xfId="1" applyNumberFormat="1" applyFont="1" applyFill="1"/>
    <xf numFmtId="43" fontId="13" fillId="2" borderId="0" xfId="1" applyFont="1" applyFill="1"/>
    <xf numFmtId="166" fontId="13" fillId="2" borderId="0" xfId="1" applyNumberFormat="1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left"/>
    </xf>
    <xf numFmtId="43" fontId="13" fillId="2" borderId="0" xfId="1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166" fontId="13" fillId="2" borderId="0" xfId="1" applyNumberFormat="1" applyFont="1" applyFill="1" applyAlignment="1">
      <alignment horizontal="left" wrapText="1"/>
    </xf>
    <xf numFmtId="43" fontId="13" fillId="2" borderId="0" xfId="0" applyNumberFormat="1" applyFont="1" applyFill="1"/>
    <xf numFmtId="44" fontId="13" fillId="2" borderId="0" xfId="0" applyNumberFormat="1" applyFont="1" applyFill="1"/>
    <xf numFmtId="0" fontId="13" fillId="2" borderId="0" xfId="0" applyFont="1" applyFill="1"/>
    <xf numFmtId="0" fontId="0" fillId="0" borderId="0" xfId="0"/>
    <xf numFmtId="0" fontId="6" fillId="2" borderId="0" xfId="0" applyFont="1" applyFill="1" applyBorder="1"/>
    <xf numFmtId="0" fontId="13" fillId="2" borderId="0" xfId="0" applyFont="1" applyFill="1"/>
    <xf numFmtId="166" fontId="13" fillId="2" borderId="0" xfId="1" applyNumberFormat="1" applyFont="1" applyFill="1"/>
    <xf numFmtId="166" fontId="13" fillId="2" borderId="0" xfId="1" applyNumberFormat="1" applyFont="1" applyFill="1" applyBorder="1"/>
    <xf numFmtId="44" fontId="8" fillId="2" borderId="8" xfId="3" applyFont="1" applyFill="1" applyBorder="1"/>
    <xf numFmtId="166" fontId="13" fillId="2" borderId="0" xfId="1" applyNumberFormat="1" applyFont="1" applyFill="1" applyAlignment="1">
      <alignment horizontal="left"/>
    </xf>
    <xf numFmtId="0" fontId="13" fillId="2" borderId="0" xfId="0" applyFont="1" applyFill="1" applyAlignment="1">
      <alignment wrapText="1"/>
    </xf>
    <xf numFmtId="166" fontId="13" fillId="2" borderId="0" xfId="1" applyNumberFormat="1" applyFont="1" applyFill="1" applyAlignment="1">
      <alignment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right"/>
    </xf>
    <xf numFmtId="43" fontId="13" fillId="2" borderId="0" xfId="1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166" fontId="13" fillId="2" borderId="0" xfId="1" applyNumberFormat="1" applyFont="1" applyFill="1" applyAlignment="1">
      <alignment horizontal="left" wrapText="1"/>
    </xf>
    <xf numFmtId="166" fontId="13" fillId="2" borderId="10" xfId="1" applyNumberFormat="1" applyFont="1" applyFill="1" applyBorder="1" applyAlignment="1">
      <alignment horizontal="left"/>
    </xf>
    <xf numFmtId="166" fontId="13" fillId="2" borderId="0" xfId="1" applyNumberFormat="1" applyFont="1" applyFill="1" applyAlignment="1">
      <alignment horizontal="right"/>
    </xf>
    <xf numFmtId="0" fontId="13" fillId="2" borderId="0" xfId="0" applyFont="1" applyFill="1" applyAlignment="1">
      <alignment horizontal="right" wrapText="1"/>
    </xf>
    <xf numFmtId="166" fontId="13" fillId="2" borderId="8" xfId="1" applyNumberFormat="1" applyFont="1" applyFill="1" applyBorder="1" applyAlignment="1">
      <alignment horizontal="left"/>
    </xf>
    <xf numFmtId="167" fontId="13" fillId="2" borderId="8" xfId="3" applyNumberFormat="1" applyFont="1" applyFill="1" applyBorder="1" applyAlignment="1">
      <alignment horizontal="left"/>
    </xf>
    <xf numFmtId="44" fontId="13" fillId="2" borderId="0" xfId="0" applyNumberFormat="1" applyFont="1" applyFill="1"/>
    <xf numFmtId="167" fontId="13" fillId="2" borderId="0" xfId="3" applyNumberFormat="1" applyFont="1" applyFill="1" applyAlignment="1">
      <alignment horizontal="center" vertical="center"/>
    </xf>
    <xf numFmtId="166" fontId="13" fillId="2" borderId="0" xfId="1" applyNumberFormat="1" applyFont="1" applyFill="1" applyBorder="1" applyAlignment="1">
      <alignment horizontal="left"/>
    </xf>
    <xf numFmtId="166" fontId="13" fillId="2" borderId="0" xfId="1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wrapText="1"/>
    </xf>
    <xf numFmtId="0" fontId="13" fillId="2" borderId="0" xfId="0" applyFont="1" applyFill="1" applyBorder="1" applyAlignment="1">
      <alignment wrapText="1"/>
    </xf>
    <xf numFmtId="0" fontId="13" fillId="0" borderId="0" xfId="0" applyFont="1" applyFill="1" applyAlignment="1">
      <alignment horizontal="left" vertical="center" wrapText="1" indent="3"/>
    </xf>
    <xf numFmtId="0" fontId="10" fillId="2" borderId="0" xfId="0" applyFont="1" applyFill="1" applyAlignment="1">
      <alignment horizontal="center"/>
    </xf>
    <xf numFmtId="167" fontId="12" fillId="3" borderId="0" xfId="3" applyNumberFormat="1" applyFont="1" applyFill="1"/>
    <xf numFmtId="166" fontId="12" fillId="3" borderId="0" xfId="1" applyNumberFormat="1" applyFont="1" applyFill="1"/>
    <xf numFmtId="166" fontId="12" fillId="3" borderId="4" xfId="1" applyNumberFormat="1" applyFont="1" applyFill="1" applyBorder="1"/>
    <xf numFmtId="167" fontId="8" fillId="3" borderId="8" xfId="1" applyNumberFormat="1" applyFont="1" applyFill="1" applyBorder="1" applyAlignment="1">
      <alignment horizontal="center"/>
    </xf>
    <xf numFmtId="166" fontId="8" fillId="3" borderId="2" xfId="1" applyNumberFormat="1" applyFont="1" applyFill="1" applyBorder="1"/>
    <xf numFmtId="166" fontId="12" fillId="3" borderId="6" xfId="1" applyNumberFormat="1" applyFont="1" applyFill="1" applyBorder="1"/>
    <xf numFmtId="167" fontId="13" fillId="3" borderId="8" xfId="0" applyNumberFormat="1" applyFont="1" applyFill="1" applyBorder="1"/>
    <xf numFmtId="49" fontId="7" fillId="2" borderId="6" xfId="0" applyNumberFormat="1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 indent="3"/>
    </xf>
    <xf numFmtId="0" fontId="11" fillId="2" borderId="0" xfId="0" applyFont="1" applyFill="1" applyAlignment="1">
      <alignment vertical="top" wrapText="1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66" fontId="13" fillId="2" borderId="10" xfId="1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166" fontId="13" fillId="2" borderId="11" xfId="1" applyNumberFormat="1" applyFont="1" applyFill="1" applyBorder="1" applyAlignment="1">
      <alignment horizontal="center" vertical="center"/>
    </xf>
    <xf numFmtId="166" fontId="13" fillId="2" borderId="11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6" fontId="18" fillId="2" borderId="0" xfId="1" applyNumberFormat="1" applyFont="1" applyFill="1" applyAlignment="1">
      <alignment horizontal="left" vertical="center"/>
    </xf>
    <xf numFmtId="166" fontId="19" fillId="2" borderId="0" xfId="1" applyNumberFormat="1" applyFont="1" applyFill="1"/>
    <xf numFmtId="166" fontId="19" fillId="2" borderId="0" xfId="1" applyNumberFormat="1" applyFont="1" applyFill="1" applyAlignment="1">
      <alignment horizontal="left"/>
    </xf>
    <xf numFmtId="166" fontId="19" fillId="2" borderId="0" xfId="1" applyNumberFormat="1" applyFont="1" applyFill="1" applyAlignment="1">
      <alignment wrapText="1"/>
    </xf>
    <xf numFmtId="166" fontId="19" fillId="2" borderId="0" xfId="1" applyNumberFormat="1" applyFont="1" applyFill="1" applyAlignment="1">
      <alignment horizontal="left" vertical="center"/>
    </xf>
    <xf numFmtId="166" fontId="19" fillId="2" borderId="0" xfId="1" applyNumberFormat="1" applyFont="1" applyFill="1" applyAlignment="1">
      <alignment vertical="center" wrapText="1"/>
    </xf>
    <xf numFmtId="166" fontId="19" fillId="2" borderId="10" xfId="1" applyNumberFormat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166" fontId="19" fillId="2" borderId="10" xfId="1" applyNumberFormat="1" applyFont="1" applyFill="1" applyBorder="1" applyAlignment="1">
      <alignment horizontal="center" vertical="center" wrapText="1"/>
    </xf>
    <xf numFmtId="166" fontId="19" fillId="2" borderId="0" xfId="1" applyNumberFormat="1" applyFont="1" applyFill="1" applyAlignment="1">
      <alignment horizontal="center" vertical="center" wrapText="1"/>
    </xf>
    <xf numFmtId="166" fontId="19" fillId="2" borderId="11" xfId="1" applyNumberFormat="1" applyFont="1" applyFill="1" applyBorder="1" applyAlignment="1">
      <alignment horizontal="center" vertical="center"/>
    </xf>
    <xf numFmtId="166" fontId="19" fillId="2" borderId="11" xfId="1" applyNumberFormat="1" applyFont="1" applyFill="1" applyBorder="1" applyAlignment="1">
      <alignment horizontal="center"/>
    </xf>
    <xf numFmtId="166" fontId="19" fillId="2" borderId="12" xfId="1" applyNumberFormat="1" applyFont="1" applyFill="1" applyBorder="1" applyAlignment="1">
      <alignment horizontal="center"/>
    </xf>
    <xf numFmtId="166" fontId="19" fillId="2" borderId="12" xfId="1" applyNumberFormat="1" applyFont="1" applyFill="1" applyBorder="1" applyAlignment="1">
      <alignment vertical="center" wrapText="1"/>
    </xf>
    <xf numFmtId="166" fontId="19" fillId="2" borderId="10" xfId="1" applyNumberFormat="1" applyFont="1" applyFill="1" applyBorder="1" applyAlignment="1">
      <alignment horizontal="center" vertical="center"/>
    </xf>
    <xf numFmtId="166" fontId="19" fillId="2" borderId="10" xfId="1" applyNumberFormat="1" applyFont="1" applyFill="1" applyBorder="1" applyAlignment="1">
      <alignment horizontal="center"/>
    </xf>
    <xf numFmtId="166" fontId="19" fillId="2" borderId="0" xfId="1" applyNumberFormat="1" applyFont="1" applyFill="1" applyAlignment="1">
      <alignment horizontal="center"/>
    </xf>
    <xf numFmtId="166" fontId="19" fillId="2" borderId="10" xfId="1" applyNumberFormat="1" applyFont="1" applyFill="1" applyBorder="1" applyAlignment="1">
      <alignment vertical="center" wrapText="1"/>
    </xf>
    <xf numFmtId="166" fontId="19" fillId="2" borderId="10" xfId="1" applyNumberFormat="1" applyFont="1" applyFill="1" applyBorder="1" applyAlignment="1">
      <alignment horizontal="center" vertical="center" wrapText="1"/>
    </xf>
    <xf numFmtId="166" fontId="19" fillId="2" borderId="0" xfId="1" applyNumberFormat="1" applyFont="1" applyFill="1" applyAlignment="1">
      <alignment horizontal="center" vertical="center"/>
    </xf>
    <xf numFmtId="166" fontId="19" fillId="2" borderId="0" xfId="1" applyNumberFormat="1" applyFont="1" applyFill="1" applyAlignment="1">
      <alignment horizontal="right"/>
    </xf>
    <xf numFmtId="166" fontId="19" fillId="2" borderId="10" xfId="1" applyNumberFormat="1" applyFont="1" applyFill="1" applyBorder="1" applyAlignment="1">
      <alignment horizontal="left"/>
    </xf>
    <xf numFmtId="166" fontId="19" fillId="2" borderId="0" xfId="1" applyNumberFormat="1" applyFont="1" applyFill="1" applyAlignment="1">
      <alignment horizontal="right" wrapText="1"/>
    </xf>
    <xf numFmtId="166" fontId="19" fillId="2" borderId="0" xfId="1" applyNumberFormat="1" applyFont="1" applyFill="1" applyAlignment="1">
      <alignment horizontal="left" wrapText="1"/>
    </xf>
    <xf numFmtId="166" fontId="19" fillId="0" borderId="0" xfId="1" applyNumberFormat="1" applyFont="1" applyFill="1"/>
    <xf numFmtId="166" fontId="19" fillId="0" borderId="0" xfId="1" applyNumberFormat="1" applyFont="1" applyFill="1" applyAlignment="1">
      <alignment horizontal="left"/>
    </xf>
    <xf numFmtId="166" fontId="19" fillId="0" borderId="0" xfId="1" applyNumberFormat="1" applyFont="1" applyFill="1" applyAlignment="1">
      <alignment horizontal="right"/>
    </xf>
    <xf numFmtId="166" fontId="19" fillId="0" borderId="0" xfId="1" applyNumberFormat="1" applyFont="1" applyFill="1" applyAlignment="1">
      <alignment wrapText="1"/>
    </xf>
    <xf numFmtId="166" fontId="19" fillId="0" borderId="8" xfId="1" applyNumberFormat="1" applyFont="1" applyFill="1" applyBorder="1" applyAlignment="1">
      <alignment horizontal="left"/>
    </xf>
    <xf numFmtId="166" fontId="19" fillId="0" borderId="0" xfId="1" applyNumberFormat="1" applyFont="1"/>
  </cellXfs>
  <cellStyles count="5">
    <cellStyle name="Comma" xfId="1" builtinId="3"/>
    <cellStyle name="Currency" xfId="3" builtinId="4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32" sqref="J32"/>
    </sheetView>
  </sheetViews>
  <sheetFormatPr defaultColWidth="9" defaultRowHeight="12" x14ac:dyDescent="0.2"/>
  <cols>
    <col min="1" max="1" width="50.28515625" style="21" customWidth="1"/>
    <col min="2" max="2" width="14.85546875" style="21" customWidth="1"/>
    <col min="3" max="3" width="1.5703125" style="21" customWidth="1"/>
    <col min="4" max="4" width="13.42578125" style="21" customWidth="1"/>
    <col min="5" max="5" width="3.42578125" style="21" customWidth="1"/>
    <col min="6" max="6" width="12.5703125" style="21" hidden="1" customWidth="1"/>
    <col min="7" max="7" width="2.7109375" style="21" hidden="1" customWidth="1"/>
    <col min="8" max="8" width="11.5703125" style="21" hidden="1" customWidth="1"/>
    <col min="9" max="9" width="9" style="21"/>
    <col min="10" max="10" width="10.7109375" style="21" bestFit="1" customWidth="1"/>
    <col min="11" max="11" width="9" style="122" customWidth="1"/>
    <col min="12" max="12" width="9" style="21"/>
    <col min="13" max="13" width="10.7109375" style="21" hidden="1" customWidth="1"/>
    <col min="14" max="14" width="6.28515625" style="122" hidden="1" customWidth="1"/>
    <col min="15" max="15" width="0" style="21" hidden="1" customWidth="1"/>
    <col min="16" max="16384" width="9" style="21"/>
  </cols>
  <sheetData>
    <row r="1" spans="1:14" ht="57.75" customHeight="1" x14ac:dyDescent="0.2">
      <c r="A1" s="20" t="s">
        <v>68</v>
      </c>
    </row>
    <row r="2" spans="1:14" ht="23.25" customHeight="1" x14ac:dyDescent="0.2">
      <c r="A2" s="20"/>
      <c r="B2" s="222" t="s">
        <v>128</v>
      </c>
      <c r="C2" s="222"/>
      <c r="D2" s="222"/>
      <c r="F2" s="222" t="s">
        <v>120</v>
      </c>
      <c r="G2" s="222"/>
      <c r="H2" s="222"/>
    </row>
    <row r="3" spans="1:14" x14ac:dyDescent="0.2">
      <c r="A3" s="22"/>
      <c r="B3" s="23" t="s">
        <v>111</v>
      </c>
      <c r="D3" s="23" t="s">
        <v>107</v>
      </c>
      <c r="F3" s="23" t="s">
        <v>111</v>
      </c>
      <c r="H3" s="111" t="s">
        <v>107</v>
      </c>
    </row>
    <row r="4" spans="1:14" x14ac:dyDescent="0.2">
      <c r="A4" s="65" t="s">
        <v>21</v>
      </c>
      <c r="B4" s="24">
        <v>374880.99</v>
      </c>
      <c r="C4" s="25"/>
      <c r="D4" s="24">
        <v>26215</v>
      </c>
      <c r="F4" s="24">
        <v>329884.67</v>
      </c>
      <c r="G4" s="25"/>
      <c r="H4" s="24">
        <v>7880</v>
      </c>
      <c r="J4" s="74">
        <f>D4-B4</f>
        <v>-348665.99</v>
      </c>
      <c r="K4" s="122">
        <f>J4/D4</f>
        <v>-13.300247568186153</v>
      </c>
      <c r="M4" s="74">
        <f>H4-F4</f>
        <v>-322004.67</v>
      </c>
      <c r="N4" s="122">
        <f>M4/H4</f>
        <v>-40.863536802030453</v>
      </c>
    </row>
    <row r="5" spans="1:14" ht="12.75" thickBot="1" x14ac:dyDescent="0.25">
      <c r="A5" s="65" t="s">
        <v>22</v>
      </c>
      <c r="B5" s="26">
        <v>37687.39</v>
      </c>
      <c r="C5" s="25"/>
      <c r="D5" s="26">
        <v>16332</v>
      </c>
      <c r="F5" s="26">
        <v>19802.63</v>
      </c>
      <c r="G5" s="25"/>
      <c r="H5" s="26">
        <v>9735</v>
      </c>
    </row>
    <row r="6" spans="1:14" x14ac:dyDescent="0.2">
      <c r="A6" s="65" t="s">
        <v>7</v>
      </c>
      <c r="B6" s="27">
        <f>B4-B5</f>
        <v>337193.6</v>
      </c>
      <c r="C6" s="25"/>
      <c r="D6" s="27">
        <f>D4-D5</f>
        <v>9883</v>
      </c>
      <c r="F6" s="27">
        <f>F4-F5</f>
        <v>310082.03999999998</v>
      </c>
      <c r="G6" s="25"/>
      <c r="H6" s="27">
        <f>H4-H5</f>
        <v>-1855</v>
      </c>
    </row>
    <row r="7" spans="1:14" x14ac:dyDescent="0.2">
      <c r="A7" s="65"/>
      <c r="B7" s="27"/>
      <c r="C7" s="25"/>
      <c r="D7" s="27"/>
      <c r="F7" s="27"/>
      <c r="G7" s="25"/>
      <c r="H7" s="27"/>
    </row>
    <row r="8" spans="1:14" x14ac:dyDescent="0.2">
      <c r="A8" s="65" t="s">
        <v>8</v>
      </c>
      <c r="B8" s="27"/>
      <c r="C8" s="25"/>
      <c r="D8" s="27"/>
      <c r="F8" s="27"/>
      <c r="G8" s="25"/>
      <c r="H8" s="27"/>
    </row>
    <row r="9" spans="1:14" x14ac:dyDescent="0.2">
      <c r="A9" s="65" t="s">
        <v>28</v>
      </c>
      <c r="B9" s="27">
        <f>635.17+1681.6+452364.98+116955.03+257.61</f>
        <v>571894.39</v>
      </c>
      <c r="C9" s="25"/>
      <c r="D9" s="27">
        <v>43497</v>
      </c>
      <c r="F9" s="27">
        <f>635.17+1010.08+177981.04+56955.03</f>
        <v>236581.32</v>
      </c>
      <c r="G9" s="25"/>
      <c r="H9" s="27">
        <v>32080</v>
      </c>
      <c r="J9" s="21">
        <f>1726.04+3446.59+5144.85+33124.94+54.17</f>
        <v>43496.59</v>
      </c>
    </row>
    <row r="10" spans="1:14" x14ac:dyDescent="0.2">
      <c r="A10" s="65" t="s">
        <v>27</v>
      </c>
      <c r="B10" s="27">
        <v>63050</v>
      </c>
      <c r="C10" s="25"/>
      <c r="D10" s="27">
        <v>18150</v>
      </c>
      <c r="F10" s="27">
        <v>40850</v>
      </c>
      <c r="G10" s="25"/>
      <c r="H10" s="27">
        <v>13500</v>
      </c>
    </row>
    <row r="11" spans="1:14" x14ac:dyDescent="0.2">
      <c r="A11" s="65" t="s">
        <v>44</v>
      </c>
      <c r="B11" s="28">
        <v>2158.8000000000002</v>
      </c>
      <c r="C11" s="25"/>
      <c r="D11" s="28">
        <v>4640</v>
      </c>
      <c r="F11" s="28">
        <v>1619.1</v>
      </c>
      <c r="G11" s="25"/>
      <c r="H11" s="28">
        <v>4100</v>
      </c>
    </row>
    <row r="12" spans="1:14" ht="12.75" thickBot="1" x14ac:dyDescent="0.25">
      <c r="A12" s="65" t="s">
        <v>26</v>
      </c>
      <c r="B12" s="27">
        <f>1149535.72-476198</f>
        <v>673337.72</v>
      </c>
      <c r="C12" s="25"/>
      <c r="D12" s="27">
        <v>351417</v>
      </c>
      <c r="F12" s="27">
        <v>423936.56</v>
      </c>
      <c r="G12" s="25"/>
      <c r="H12" s="27">
        <v>262071</v>
      </c>
    </row>
    <row r="13" spans="1:14" ht="12.75" thickBot="1" x14ac:dyDescent="0.25">
      <c r="A13" s="65" t="s">
        <v>47</v>
      </c>
      <c r="B13" s="29">
        <f>SUM(B9:B12)</f>
        <v>1310440.9100000001</v>
      </c>
      <c r="C13" s="25"/>
      <c r="D13" s="29">
        <f>SUM(D9:D12)</f>
        <v>417704</v>
      </c>
      <c r="F13" s="29">
        <f>SUM(F9:F12)</f>
        <v>702986.98</v>
      </c>
      <c r="G13" s="25"/>
      <c r="H13" s="29">
        <f>SUM(H8:H12)</f>
        <v>311751</v>
      </c>
      <c r="J13" s="74">
        <f>D13-B13</f>
        <v>-892736.91000000015</v>
      </c>
      <c r="K13" s="122">
        <f>J13/D13</f>
        <v>-2.1372476921456345</v>
      </c>
      <c r="M13" s="74">
        <f>H13-F13</f>
        <v>-391235.98</v>
      </c>
      <c r="N13" s="122">
        <f>M13/H13</f>
        <v>-1.2549630313936442</v>
      </c>
    </row>
    <row r="14" spans="1:14" x14ac:dyDescent="0.2">
      <c r="A14" s="65" t="s">
        <v>48</v>
      </c>
      <c r="B14" s="27">
        <f>B6-B13</f>
        <v>-973247.31000000017</v>
      </c>
      <c r="C14" s="25"/>
      <c r="D14" s="27">
        <f>D6-D13</f>
        <v>-407821</v>
      </c>
      <c r="F14" s="27">
        <f>F6-F13</f>
        <v>-392904.94</v>
      </c>
      <c r="G14" s="25"/>
      <c r="H14" s="27">
        <f>H6-H13</f>
        <v>-313606</v>
      </c>
    </row>
    <row r="15" spans="1:14" x14ac:dyDescent="0.2">
      <c r="A15" s="65" t="s">
        <v>23</v>
      </c>
      <c r="B15" s="27"/>
      <c r="C15" s="25"/>
      <c r="D15" s="27"/>
      <c r="F15" s="27"/>
      <c r="G15" s="25"/>
      <c r="H15" s="27"/>
    </row>
    <row r="16" spans="1:14" s="187" customFormat="1" x14ac:dyDescent="0.2">
      <c r="A16" s="65" t="s">
        <v>151</v>
      </c>
      <c r="B16" s="27">
        <v>57380.95</v>
      </c>
      <c r="C16" s="25"/>
      <c r="D16" s="27"/>
      <c r="F16" s="27"/>
      <c r="G16" s="25"/>
      <c r="H16" s="27"/>
      <c r="K16" s="122"/>
      <c r="N16" s="122"/>
    </row>
    <row r="17" spans="1:14" x14ac:dyDescent="0.2">
      <c r="A17" s="65" t="s">
        <v>77</v>
      </c>
      <c r="B17" s="27">
        <v>0</v>
      </c>
      <c r="C17" s="25"/>
      <c r="D17" s="27">
        <v>0</v>
      </c>
      <c r="F17" s="27">
        <v>0</v>
      </c>
      <c r="G17" s="25"/>
      <c r="H17" s="27">
        <v>0</v>
      </c>
    </row>
    <row r="18" spans="1:14" x14ac:dyDescent="0.2">
      <c r="A18" s="65" t="s">
        <v>75</v>
      </c>
      <c r="B18" s="27">
        <v>0</v>
      </c>
      <c r="C18" s="25"/>
      <c r="D18" s="27">
        <v>0</v>
      </c>
      <c r="F18" s="27">
        <v>0</v>
      </c>
      <c r="G18" s="25"/>
      <c r="H18" s="27">
        <v>0</v>
      </c>
    </row>
    <row r="19" spans="1:14" x14ac:dyDescent="0.2">
      <c r="A19" s="65" t="s">
        <v>99</v>
      </c>
      <c r="B19" s="27">
        <v>0</v>
      </c>
      <c r="C19" s="25"/>
      <c r="D19" s="27">
        <v>0</v>
      </c>
      <c r="F19" s="27">
        <v>0</v>
      </c>
      <c r="G19" s="25"/>
      <c r="H19" s="27">
        <v>0</v>
      </c>
    </row>
    <row r="20" spans="1:14" x14ac:dyDescent="0.2">
      <c r="A20" s="65" t="s">
        <v>24</v>
      </c>
      <c r="B20" s="27">
        <v>0</v>
      </c>
      <c r="C20" s="25"/>
      <c r="D20" s="27">
        <v>0</v>
      </c>
      <c r="F20" s="27">
        <v>0</v>
      </c>
      <c r="G20" s="25"/>
      <c r="H20" s="27">
        <v>0</v>
      </c>
    </row>
    <row r="21" spans="1:14" x14ac:dyDescent="0.2">
      <c r="A21" s="65" t="s">
        <v>25</v>
      </c>
      <c r="B21" s="27">
        <f>-49182.24</f>
        <v>-49182.239999999998</v>
      </c>
      <c r="C21" s="25"/>
      <c r="D21" s="27">
        <v>-31726</v>
      </c>
      <c r="F21" s="27">
        <v>-38004</v>
      </c>
      <c r="G21" s="25"/>
      <c r="H21" s="27">
        <v>-23795</v>
      </c>
    </row>
    <row r="22" spans="1:14" ht="12.75" thickBot="1" x14ac:dyDescent="0.25">
      <c r="A22" s="65" t="s">
        <v>45</v>
      </c>
      <c r="B22" s="27">
        <v>1303455.82</v>
      </c>
      <c r="C22" s="25"/>
      <c r="D22" s="27">
        <v>-526338</v>
      </c>
      <c r="F22" s="27">
        <v>-15205294</v>
      </c>
      <c r="G22" s="25"/>
      <c r="H22" s="27">
        <v>-214204</v>
      </c>
    </row>
    <row r="23" spans="1:14" ht="12.75" thickBot="1" x14ac:dyDescent="0.25">
      <c r="A23" s="65" t="s">
        <v>49</v>
      </c>
      <c r="B23" s="30">
        <f>SUM(B16:B22)</f>
        <v>1311654.53</v>
      </c>
      <c r="C23" s="25"/>
      <c r="D23" s="30">
        <f>SUM(D17:D22)</f>
        <v>-558064</v>
      </c>
      <c r="F23" s="30">
        <f>SUM(F17:F22)</f>
        <v>-15243298</v>
      </c>
      <c r="G23" s="25"/>
      <c r="H23" s="30">
        <f>SUM(H17:H22)</f>
        <v>-237999</v>
      </c>
    </row>
    <row r="24" spans="1:14" x14ac:dyDescent="0.2">
      <c r="A24" s="65"/>
      <c r="B24" s="30"/>
      <c r="C24" s="25"/>
      <c r="D24" s="30"/>
      <c r="F24" s="30"/>
      <c r="G24" s="25"/>
      <c r="H24" s="30"/>
    </row>
    <row r="25" spans="1:14" ht="12.75" thickBot="1" x14ac:dyDescent="0.25">
      <c r="A25" s="65" t="s">
        <v>59</v>
      </c>
      <c r="B25" s="66">
        <f>B23+B14</f>
        <v>338407.21999999986</v>
      </c>
      <c r="C25" s="31"/>
      <c r="D25" s="218">
        <f>D23+D14+1</f>
        <v>-965884</v>
      </c>
      <c r="F25" s="66">
        <f>F23+F14</f>
        <v>-15636202.939999999</v>
      </c>
      <c r="G25" s="25"/>
      <c r="H25" s="66">
        <f>H23+H14</f>
        <v>-551605</v>
      </c>
      <c r="J25" s="74">
        <f>D25-B25</f>
        <v>-1304291.2199999997</v>
      </c>
      <c r="K25" s="122">
        <f>J25/D25</f>
        <v>1.350360105354266</v>
      </c>
      <c r="M25" s="74">
        <f>H25-F25</f>
        <v>15084597.939999999</v>
      </c>
      <c r="N25" s="122">
        <f>M25/H25</f>
        <v>-27.346738952692597</v>
      </c>
    </row>
    <row r="26" spans="1:14" ht="12.75" thickTop="1" x14ac:dyDescent="0.2">
      <c r="A26" s="67"/>
      <c r="B26" s="67"/>
      <c r="C26" s="32"/>
      <c r="H26" s="187"/>
    </row>
    <row r="27" spans="1:14" ht="12.75" thickBot="1" x14ac:dyDescent="0.25">
      <c r="A27" s="67" t="s">
        <v>58</v>
      </c>
      <c r="B27" s="68">
        <f>ROUND(B25/B29,2)</f>
        <v>0</v>
      </c>
      <c r="C27" s="33"/>
      <c r="D27" s="68">
        <f>ROUND(D25/D29,2)</f>
        <v>-0.02</v>
      </c>
      <c r="F27" s="68">
        <f>ROUND(F25/F29,2)</f>
        <v>-0.19</v>
      </c>
      <c r="G27" s="33"/>
      <c r="H27" s="191">
        <f>ROUND(H25/H29,2)</f>
        <v>-0.01</v>
      </c>
    </row>
    <row r="28" spans="1:14" ht="12.75" thickTop="1" x14ac:dyDescent="0.2">
      <c r="A28" s="67"/>
      <c r="B28" s="67"/>
      <c r="C28" s="32"/>
      <c r="F28" s="67"/>
      <c r="G28" s="32"/>
    </row>
    <row r="29" spans="1:14" ht="12.75" thickBot="1" x14ac:dyDescent="0.25">
      <c r="A29" s="67" t="s">
        <v>32</v>
      </c>
      <c r="B29" s="100">
        <v>103526044</v>
      </c>
      <c r="C29" s="101"/>
      <c r="D29" s="100">
        <v>59409280</v>
      </c>
      <c r="E29" s="102"/>
      <c r="F29" s="100">
        <v>81792707</v>
      </c>
      <c r="G29" s="34"/>
      <c r="H29" s="69">
        <v>59409280</v>
      </c>
    </row>
    <row r="30" spans="1:14" ht="12.75" thickTop="1" x14ac:dyDescent="0.2">
      <c r="A30" s="67"/>
      <c r="B30" s="67"/>
      <c r="C30" s="32"/>
    </row>
    <row r="31" spans="1:14" x14ac:dyDescent="0.2">
      <c r="A31" s="223" t="s">
        <v>71</v>
      </c>
      <c r="B31" s="223"/>
      <c r="C31" s="223"/>
      <c r="D31" s="223"/>
      <c r="E31" s="223"/>
      <c r="F31" s="223"/>
      <c r="G31" s="223"/>
      <c r="H31" s="223"/>
    </row>
  </sheetData>
  <mergeCells count="3">
    <mergeCell ref="B2:D2"/>
    <mergeCell ref="F2:H2"/>
    <mergeCell ref="A31:H31"/>
  </mergeCells>
  <pageMargins left="0.7" right="0.7" top="0.75" bottom="0.75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showGridLines="0" zoomScale="90" zoomScaleNormal="90" workbookViewId="0">
      <pane ySplit="4" topLeftCell="A23" activePane="bottomLeft" state="frozen"/>
      <selection pane="bottomLeft" activeCell="K20" sqref="K20"/>
    </sheetView>
  </sheetViews>
  <sheetFormatPr defaultRowHeight="15" x14ac:dyDescent="0.25"/>
  <cols>
    <col min="1" max="1" width="3.5703125" customWidth="1"/>
    <col min="2" max="2" width="35.5703125" customWidth="1"/>
    <col min="5" max="5" width="1.5703125" customWidth="1"/>
    <col min="7" max="7" width="15.7109375" bestFit="1" customWidth="1"/>
    <col min="9" max="9" width="18.140625" bestFit="1" customWidth="1"/>
    <col min="10" max="10" width="10.5703125" bestFit="1" customWidth="1"/>
    <col min="11" max="11" width="12.28515625" bestFit="1" customWidth="1"/>
    <col min="12" max="12" width="12.140625" bestFit="1" customWidth="1"/>
    <col min="13" max="13" width="22.140625" bestFit="1" customWidth="1"/>
    <col min="14" max="14" width="12.140625" bestFit="1" customWidth="1"/>
    <col min="15" max="15" width="12" bestFit="1" customWidth="1"/>
    <col min="20" max="20" width="9.7109375" bestFit="1" customWidth="1"/>
  </cols>
  <sheetData>
    <row r="1" spans="1:20" s="4" customFormat="1" ht="24.95" customHeight="1" x14ac:dyDescent="0.25">
      <c r="B1" s="224" t="s">
        <v>67</v>
      </c>
      <c r="C1" s="224"/>
      <c r="D1" s="224"/>
      <c r="E1" s="224"/>
      <c r="K1" s="18"/>
      <c r="L1" s="18"/>
      <c r="M1" s="18"/>
    </row>
    <row r="2" spans="1:20" ht="24.95" customHeight="1" x14ac:dyDescent="0.25">
      <c r="B2" s="224"/>
      <c r="C2" s="224"/>
      <c r="D2" s="224"/>
      <c r="E2" s="224"/>
    </row>
    <row r="3" spans="1:20" x14ac:dyDescent="0.25">
      <c r="B3" s="224"/>
      <c r="C3" s="224"/>
      <c r="D3" s="224"/>
      <c r="E3" s="224"/>
    </row>
    <row r="4" spans="1:20" ht="15.75" thickBot="1" x14ac:dyDescent="0.3">
      <c r="B4" s="2"/>
      <c r="C4" s="2"/>
      <c r="D4" s="2"/>
      <c r="E4" s="2"/>
      <c r="F4" s="2"/>
      <c r="G4" s="1" t="s">
        <v>129</v>
      </c>
      <c r="I4" s="1" t="s">
        <v>110</v>
      </c>
    </row>
    <row r="5" spans="1:20" ht="15.75" thickTop="1" x14ac:dyDescent="0.25">
      <c r="A5" s="56"/>
      <c r="B5" s="57" t="s">
        <v>6</v>
      </c>
      <c r="C5" s="57"/>
      <c r="D5" s="57"/>
      <c r="E5" s="57"/>
      <c r="F5" s="57"/>
      <c r="G5" s="7"/>
      <c r="H5" s="6"/>
      <c r="I5" s="7"/>
    </row>
    <row r="6" spans="1:20" x14ac:dyDescent="0.25">
      <c r="A6" s="56"/>
      <c r="B6" s="57" t="s">
        <v>5</v>
      </c>
      <c r="C6" s="57"/>
      <c r="D6" s="57"/>
      <c r="E6" s="57"/>
      <c r="F6" s="57"/>
      <c r="G6" s="7"/>
      <c r="H6" s="6"/>
      <c r="I6" s="7"/>
    </row>
    <row r="7" spans="1:20" x14ac:dyDescent="0.25">
      <c r="A7" s="56"/>
      <c r="B7" s="58" t="s">
        <v>52</v>
      </c>
      <c r="C7" s="57"/>
      <c r="D7" s="57"/>
      <c r="E7" s="57"/>
      <c r="F7" s="57"/>
      <c r="G7" s="15">
        <v>2407966.4700000002</v>
      </c>
      <c r="H7" s="8"/>
      <c r="I7" s="15">
        <v>2305</v>
      </c>
    </row>
    <row r="8" spans="1:20" s="18" customFormat="1" x14ac:dyDescent="0.25">
      <c r="A8" s="56"/>
      <c r="B8" s="58" t="s">
        <v>60</v>
      </c>
      <c r="C8" s="57"/>
      <c r="D8" s="57"/>
      <c r="E8" s="57"/>
      <c r="F8" s="57"/>
      <c r="G8" s="16">
        <v>9333.32</v>
      </c>
      <c r="H8" s="8"/>
      <c r="I8" s="16">
        <v>8125</v>
      </c>
    </row>
    <row r="9" spans="1:20" hidden="1" x14ac:dyDescent="0.25">
      <c r="A9" s="56"/>
      <c r="B9" s="58" t="s">
        <v>39</v>
      </c>
      <c r="C9" s="57"/>
      <c r="D9" s="6"/>
      <c r="E9" s="6"/>
      <c r="F9" s="6"/>
      <c r="G9" s="16">
        <v>0</v>
      </c>
      <c r="H9" s="8"/>
      <c r="I9" s="16">
        <v>0</v>
      </c>
    </row>
    <row r="10" spans="1:20" x14ac:dyDescent="0.25">
      <c r="A10" s="56"/>
      <c r="B10" s="57" t="s">
        <v>4</v>
      </c>
      <c r="C10" s="6"/>
      <c r="D10" s="57"/>
      <c r="E10" s="57"/>
      <c r="F10" s="57"/>
      <c r="G10" s="9">
        <f>SUM(G7:G9)</f>
        <v>2417299.79</v>
      </c>
      <c r="H10" s="8"/>
      <c r="I10" s="9">
        <f>SUM(I7:I9)</f>
        <v>10430</v>
      </c>
    </row>
    <row r="11" spans="1:20" x14ac:dyDescent="0.25">
      <c r="A11" s="56"/>
      <c r="B11" s="57"/>
      <c r="C11" s="6"/>
      <c r="D11" s="57"/>
      <c r="E11" s="57"/>
      <c r="F11" s="57"/>
      <c r="G11" s="9"/>
      <c r="H11" s="8"/>
      <c r="I11" s="9"/>
      <c r="M11" s="71"/>
    </row>
    <row r="12" spans="1:20" s="18" customFormat="1" x14ac:dyDescent="0.25">
      <c r="A12" s="56"/>
      <c r="B12" s="57" t="s">
        <v>115</v>
      </c>
      <c r="C12" s="6"/>
      <c r="D12" s="57"/>
      <c r="E12" s="57"/>
      <c r="F12" s="57"/>
      <c r="G12" s="9">
        <v>304427.44</v>
      </c>
      <c r="H12" s="8"/>
      <c r="I12" s="9"/>
      <c r="M12" s="71"/>
    </row>
    <row r="13" spans="1:20" x14ac:dyDescent="0.25">
      <c r="A13" s="56"/>
      <c r="B13" s="58" t="s">
        <v>65</v>
      </c>
      <c r="C13" s="57"/>
      <c r="D13" s="6"/>
      <c r="E13" s="57"/>
      <c r="F13" s="57"/>
      <c r="G13" s="12">
        <f>1048.87+4619.77</f>
        <v>5668.64</v>
      </c>
      <c r="H13" s="8"/>
      <c r="I13" s="10">
        <f>1429+4446</f>
        <v>5875</v>
      </c>
      <c r="J13" s="18"/>
      <c r="M13" s="71"/>
    </row>
    <row r="14" spans="1:20" ht="15.75" thickBot="1" x14ac:dyDescent="0.3">
      <c r="A14" s="56"/>
      <c r="B14" s="58" t="s">
        <v>36</v>
      </c>
      <c r="C14" s="57"/>
      <c r="D14" s="6"/>
      <c r="E14" s="6"/>
      <c r="F14" s="6"/>
      <c r="G14" s="12">
        <v>0</v>
      </c>
      <c r="H14" s="8"/>
      <c r="I14" s="10">
        <v>0</v>
      </c>
      <c r="M14" s="71"/>
      <c r="N14" s="72"/>
      <c r="T14" s="73"/>
    </row>
    <row r="15" spans="1:20" ht="15.75" thickBot="1" x14ac:dyDescent="0.3">
      <c r="A15" s="56"/>
      <c r="B15" s="57" t="s">
        <v>3</v>
      </c>
      <c r="C15" s="57"/>
      <c r="D15" s="57"/>
      <c r="E15" s="57"/>
      <c r="F15" s="57"/>
      <c r="G15" s="59">
        <f>G10+G13+G14+G12</f>
        <v>2727395.87</v>
      </c>
      <c r="H15" s="8"/>
      <c r="I15" s="59">
        <f>I10+I13+I14</f>
        <v>16305</v>
      </c>
      <c r="J15" s="54"/>
      <c r="K15" s="54"/>
      <c r="M15" s="71"/>
      <c r="N15" s="72"/>
      <c r="T15" s="73"/>
    </row>
    <row r="16" spans="1:20" ht="15.75" thickTop="1" x14ac:dyDescent="0.25">
      <c r="A16" s="56"/>
      <c r="B16" s="57" t="s">
        <v>54</v>
      </c>
      <c r="C16" s="57"/>
      <c r="D16" s="57"/>
      <c r="E16" s="57"/>
      <c r="F16" s="57"/>
      <c r="G16" s="9"/>
      <c r="H16" s="8"/>
      <c r="I16" s="9"/>
      <c r="L16" s="3"/>
      <c r="M16" s="71"/>
      <c r="N16" s="72"/>
    </row>
    <row r="17" spans="1:15" x14ac:dyDescent="0.25">
      <c r="A17" s="56"/>
      <c r="B17" s="57" t="s">
        <v>2</v>
      </c>
      <c r="C17" s="57"/>
      <c r="D17" s="6"/>
      <c r="E17" s="57"/>
      <c r="F17" s="57"/>
      <c r="G17" s="9"/>
      <c r="H17" s="8"/>
      <c r="I17" s="9"/>
      <c r="M17" s="71"/>
      <c r="N17" s="72"/>
    </row>
    <row r="18" spans="1:15" x14ac:dyDescent="0.25">
      <c r="A18" s="56"/>
      <c r="B18" s="58" t="s">
        <v>42</v>
      </c>
      <c r="C18" s="57"/>
      <c r="D18" s="57"/>
      <c r="E18" s="57"/>
      <c r="F18" s="6"/>
      <c r="G18" s="70">
        <f>70013.59+229002.84</f>
        <v>299016.43</v>
      </c>
      <c r="H18" s="8"/>
      <c r="I18" s="15">
        <f>164987</f>
        <v>164987</v>
      </c>
      <c r="K18" s="54"/>
      <c r="M18" s="71"/>
      <c r="N18" s="72"/>
    </row>
    <row r="19" spans="1:15" x14ac:dyDescent="0.25">
      <c r="A19" s="56"/>
      <c r="B19" s="58" t="s">
        <v>34</v>
      </c>
      <c r="C19" s="57"/>
      <c r="D19" s="57"/>
      <c r="E19" s="57"/>
      <c r="F19" s="6"/>
      <c r="G19" s="11">
        <v>0</v>
      </c>
      <c r="H19" s="8"/>
      <c r="I19" s="9">
        <v>1303456</v>
      </c>
      <c r="M19" s="71"/>
      <c r="N19" s="72"/>
    </row>
    <row r="20" spans="1:15" x14ac:dyDescent="0.25">
      <c r="A20" s="56"/>
      <c r="B20" s="58" t="s">
        <v>35</v>
      </c>
      <c r="C20" s="57"/>
      <c r="D20" s="57"/>
      <c r="E20" s="6"/>
      <c r="F20" s="57"/>
      <c r="G20" s="12">
        <v>6628.17</v>
      </c>
      <c r="H20" s="8"/>
      <c r="I20" s="12">
        <v>13440</v>
      </c>
      <c r="N20" s="72"/>
    </row>
    <row r="21" spans="1:15" x14ac:dyDescent="0.25">
      <c r="A21" s="56"/>
      <c r="B21" s="58" t="s">
        <v>41</v>
      </c>
      <c r="C21" s="57"/>
      <c r="D21" s="57"/>
      <c r="E21" s="57"/>
      <c r="F21" s="6"/>
      <c r="G21" s="11">
        <v>0</v>
      </c>
      <c r="H21" s="8"/>
      <c r="I21" s="9">
        <v>17240</v>
      </c>
    </row>
    <row r="22" spans="1:15" x14ac:dyDescent="0.25">
      <c r="A22" s="56"/>
      <c r="B22" s="60" t="s">
        <v>66</v>
      </c>
      <c r="C22" s="57"/>
      <c r="D22" s="57"/>
      <c r="E22" s="57"/>
      <c r="F22" s="6"/>
      <c r="G22" s="17">
        <v>0</v>
      </c>
      <c r="H22" s="8"/>
      <c r="I22" s="16">
        <v>2146467</v>
      </c>
    </row>
    <row r="23" spans="1:15" x14ac:dyDescent="0.25">
      <c r="A23" s="56"/>
      <c r="B23" s="57" t="s">
        <v>1</v>
      </c>
      <c r="C23" s="57"/>
      <c r="D23" s="6"/>
      <c r="E23" s="57"/>
      <c r="F23" s="57"/>
      <c r="G23" s="9">
        <f>SUM(G18:G22)</f>
        <v>305644.59999999998</v>
      </c>
      <c r="H23" s="8"/>
      <c r="I23" s="9">
        <f>SUM(I18:I22)</f>
        <v>3645590</v>
      </c>
      <c r="J23" s="3"/>
    </row>
    <row r="24" spans="1:15" s="18" customFormat="1" x14ac:dyDescent="0.25">
      <c r="A24" s="56"/>
      <c r="B24" s="57"/>
      <c r="C24" s="57"/>
      <c r="D24" s="6"/>
      <c r="E24" s="57"/>
      <c r="F24" s="57"/>
      <c r="G24" s="11"/>
      <c r="H24" s="8"/>
      <c r="I24" s="9"/>
    </row>
    <row r="25" spans="1:15" s="18" customFormat="1" hidden="1" x14ac:dyDescent="0.25">
      <c r="A25" s="56"/>
      <c r="B25" s="58" t="s">
        <v>40</v>
      </c>
      <c r="C25" s="57"/>
      <c r="D25" s="6"/>
      <c r="E25" s="57"/>
      <c r="F25" s="57"/>
      <c r="G25" s="11">
        <v>0</v>
      </c>
      <c r="H25" s="8"/>
      <c r="I25" s="9">
        <v>0</v>
      </c>
    </row>
    <row r="26" spans="1:15" s="18" customFormat="1" hidden="1" x14ac:dyDescent="0.25">
      <c r="A26" s="56"/>
      <c r="B26" s="58" t="s">
        <v>35</v>
      </c>
      <c r="C26" s="57"/>
      <c r="D26" s="6"/>
      <c r="E26" s="57"/>
      <c r="F26" s="57"/>
      <c r="G26" s="11">
        <v>0</v>
      </c>
      <c r="H26" s="8"/>
      <c r="I26" s="9">
        <v>0</v>
      </c>
    </row>
    <row r="27" spans="1:15" s="18" customFormat="1" hidden="1" x14ac:dyDescent="0.25">
      <c r="A27" s="56"/>
      <c r="B27" s="58"/>
      <c r="C27" s="57"/>
      <c r="D27" s="6"/>
      <c r="E27" s="57"/>
      <c r="F27" s="57"/>
      <c r="G27" s="14">
        <f>SUM(G25:G26)</f>
        <v>0</v>
      </c>
      <c r="H27" s="8"/>
      <c r="I27" s="14">
        <f>SUM(I25:I26)</f>
        <v>0</v>
      </c>
    </row>
    <row r="28" spans="1:15" s="18" customFormat="1" hidden="1" x14ac:dyDescent="0.25">
      <c r="A28" s="56"/>
      <c r="B28" s="58"/>
      <c r="C28" s="57"/>
      <c r="D28" s="6"/>
      <c r="E28" s="57"/>
      <c r="F28" s="57"/>
      <c r="G28" s="10"/>
      <c r="H28" s="8"/>
      <c r="I28" s="10"/>
    </row>
    <row r="29" spans="1:15" ht="15.75" thickBot="1" x14ac:dyDescent="0.3">
      <c r="A29" s="56"/>
      <c r="B29" s="57" t="s">
        <v>0</v>
      </c>
      <c r="C29" s="6"/>
      <c r="D29" s="57"/>
      <c r="E29" s="57"/>
      <c r="F29" s="57"/>
      <c r="G29" s="19">
        <f>G27+G23</f>
        <v>305644.59999999998</v>
      </c>
      <c r="H29" s="8"/>
      <c r="I29" s="19">
        <f>I27+I23</f>
        <v>3645590</v>
      </c>
      <c r="K29" s="3"/>
    </row>
    <row r="30" spans="1:15" x14ac:dyDescent="0.25">
      <c r="A30" s="56"/>
      <c r="B30" s="57"/>
      <c r="C30" s="6"/>
      <c r="D30" s="57"/>
      <c r="E30" s="57"/>
      <c r="F30" s="57"/>
      <c r="G30" s="10"/>
      <c r="H30" s="8"/>
      <c r="I30" s="10"/>
    </row>
    <row r="31" spans="1:15" x14ac:dyDescent="0.25">
      <c r="A31" s="56"/>
      <c r="B31" s="57" t="s">
        <v>55</v>
      </c>
      <c r="C31" s="6"/>
      <c r="D31" s="57"/>
      <c r="E31" s="57"/>
      <c r="F31" s="57"/>
      <c r="G31" s="9"/>
      <c r="H31" s="8"/>
      <c r="I31" s="9"/>
    </row>
    <row r="32" spans="1:15" x14ac:dyDescent="0.25">
      <c r="A32" s="56"/>
      <c r="B32" s="58" t="s">
        <v>29</v>
      </c>
      <c r="C32" s="57"/>
      <c r="D32" s="6"/>
      <c r="E32" s="57"/>
      <c r="F32" s="57"/>
      <c r="G32" s="9"/>
      <c r="H32" s="8"/>
      <c r="I32" s="9"/>
      <c r="M32" t="s">
        <v>74</v>
      </c>
      <c r="N32" s="3">
        <f>G10-G23</f>
        <v>2111655.19</v>
      </c>
      <c r="O32" s="3"/>
    </row>
    <row r="33" spans="1:13" ht="36" customHeight="1" x14ac:dyDescent="0.25">
      <c r="A33" s="56"/>
      <c r="B33" s="226" t="s">
        <v>43</v>
      </c>
      <c r="C33" s="226"/>
      <c r="D33" s="226"/>
      <c r="E33" s="13"/>
      <c r="F33" s="57"/>
      <c r="G33" s="11">
        <v>8</v>
      </c>
      <c r="H33" s="8"/>
      <c r="I33" s="9">
        <v>8</v>
      </c>
    </row>
    <row r="34" spans="1:13" x14ac:dyDescent="0.25">
      <c r="A34" s="56"/>
      <c r="B34" s="58" t="s">
        <v>30</v>
      </c>
      <c r="C34" s="57"/>
      <c r="D34" s="6"/>
      <c r="E34" s="57"/>
      <c r="F34" s="57"/>
      <c r="G34" s="11"/>
      <c r="H34" s="8"/>
      <c r="I34" s="9"/>
    </row>
    <row r="35" spans="1:13" ht="48" customHeight="1" x14ac:dyDescent="0.25">
      <c r="A35" s="56"/>
      <c r="B35" s="226" t="s">
        <v>133</v>
      </c>
      <c r="C35" s="226"/>
      <c r="D35" s="226"/>
      <c r="E35" s="13"/>
      <c r="F35" s="57"/>
      <c r="G35" s="11">
        <v>20.260000000000002</v>
      </c>
      <c r="H35" s="8"/>
      <c r="I35" s="9">
        <v>69</v>
      </c>
    </row>
    <row r="36" spans="1:13" x14ac:dyDescent="0.25">
      <c r="A36" s="56"/>
      <c r="B36" s="58" t="s">
        <v>31</v>
      </c>
      <c r="C36" s="57"/>
      <c r="D36" s="6"/>
      <c r="E36" s="57"/>
      <c r="F36" s="57"/>
      <c r="G36" s="11"/>
      <c r="H36" s="8"/>
      <c r="I36" s="9"/>
    </row>
    <row r="37" spans="1:13" ht="44.25" customHeight="1" x14ac:dyDescent="0.25">
      <c r="A37" s="56"/>
      <c r="B37" s="226" t="s">
        <v>101</v>
      </c>
      <c r="C37" s="226"/>
      <c r="D37" s="226"/>
      <c r="E37" s="13"/>
      <c r="F37" s="57"/>
      <c r="G37" s="11">
        <v>1</v>
      </c>
      <c r="H37" s="8"/>
      <c r="I37" s="9">
        <v>1</v>
      </c>
    </row>
    <row r="38" spans="1:13" s="18" customFormat="1" x14ac:dyDescent="0.25">
      <c r="A38" s="56"/>
      <c r="B38" s="58" t="s">
        <v>46</v>
      </c>
      <c r="C38" s="61"/>
      <c r="D38" s="61"/>
      <c r="E38" s="13"/>
      <c r="F38" s="57"/>
      <c r="G38" s="11"/>
      <c r="H38" s="8"/>
      <c r="I38" s="9"/>
    </row>
    <row r="39" spans="1:13" s="18" customFormat="1" ht="44.25" customHeight="1" x14ac:dyDescent="0.25">
      <c r="A39" s="56"/>
      <c r="B39" s="226" t="s">
        <v>102</v>
      </c>
      <c r="C39" s="226"/>
      <c r="D39" s="226"/>
      <c r="E39" s="13"/>
      <c r="F39" s="57"/>
      <c r="G39" s="11">
        <v>0</v>
      </c>
      <c r="H39" s="8"/>
      <c r="I39" s="9">
        <v>0</v>
      </c>
    </row>
    <row r="40" spans="1:13" s="186" customFormat="1" ht="44.25" customHeight="1" x14ac:dyDescent="0.25">
      <c r="A40" s="56"/>
      <c r="B40" s="58" t="s">
        <v>130</v>
      </c>
      <c r="C40" s="213"/>
      <c r="D40" s="213"/>
      <c r="E40" s="13"/>
      <c r="F40" s="57"/>
      <c r="G40" s="11">
        <v>57.66</v>
      </c>
      <c r="H40" s="8"/>
      <c r="I40" s="9"/>
    </row>
    <row r="41" spans="1:13" s="186" customFormat="1" ht="44.25" customHeight="1" x14ac:dyDescent="0.25">
      <c r="A41" s="56"/>
      <c r="B41" s="226" t="s">
        <v>150</v>
      </c>
      <c r="C41" s="226"/>
      <c r="D41" s="226"/>
      <c r="E41" s="13"/>
      <c r="F41" s="57"/>
      <c r="G41" s="11"/>
      <c r="H41" s="8"/>
      <c r="I41" s="9"/>
    </row>
    <row r="42" spans="1:13" ht="17.25" customHeight="1" x14ac:dyDescent="0.25">
      <c r="A42" s="56"/>
      <c r="B42" s="58" t="s">
        <v>12</v>
      </c>
      <c r="C42" s="57"/>
      <c r="D42" s="6"/>
      <c r="E42" s="57"/>
      <c r="F42" s="57"/>
      <c r="G42" s="11"/>
      <c r="H42" s="8"/>
      <c r="I42" s="9"/>
    </row>
    <row r="43" spans="1:13" ht="48" customHeight="1" x14ac:dyDescent="0.25">
      <c r="A43" s="56"/>
      <c r="B43" s="226" t="s">
        <v>134</v>
      </c>
      <c r="C43" s="226"/>
      <c r="D43" s="226"/>
      <c r="E43" s="13"/>
      <c r="F43" s="57"/>
      <c r="G43" s="11">
        <v>103526.06</v>
      </c>
      <c r="H43" s="8"/>
      <c r="I43" s="9">
        <v>65374</v>
      </c>
      <c r="L43" s="11"/>
      <c r="M43" s="3"/>
    </row>
    <row r="44" spans="1:13" s="186" customFormat="1" ht="48" customHeight="1" x14ac:dyDescent="0.25">
      <c r="A44" s="56"/>
      <c r="B44" s="58" t="s">
        <v>131</v>
      </c>
      <c r="C44" s="213"/>
      <c r="D44" s="213"/>
      <c r="E44" s="13"/>
      <c r="F44" s="57"/>
      <c r="G44" s="11">
        <f>481.11-147.78</f>
        <v>333.33000000000004</v>
      </c>
      <c r="H44" s="8"/>
      <c r="I44" s="9"/>
      <c r="L44" s="11"/>
      <c r="M44" s="3"/>
    </row>
    <row r="45" spans="1:13" x14ac:dyDescent="0.25">
      <c r="A45" s="56"/>
      <c r="B45" s="57" t="s">
        <v>14</v>
      </c>
      <c r="C45" s="57"/>
      <c r="D45" s="6"/>
      <c r="E45" s="57"/>
      <c r="F45" s="57"/>
      <c r="G45" s="11">
        <f>721491.59+9193851.5+41420.97</f>
        <v>9956764.0600000005</v>
      </c>
      <c r="H45" s="8"/>
      <c r="I45" s="9">
        <f>4241208+41421</f>
        <v>4282629</v>
      </c>
      <c r="L45" s="11"/>
    </row>
    <row r="46" spans="1:13" ht="15.75" thickBot="1" x14ac:dyDescent="0.3">
      <c r="A46" s="56"/>
      <c r="B46" s="57" t="s">
        <v>13</v>
      </c>
      <c r="C46" s="57"/>
      <c r="D46" s="6"/>
      <c r="E46" s="57"/>
      <c r="F46" s="57"/>
      <c r="G46" s="12">
        <f>-7977366.15+338407.05</f>
        <v>-7638959.1000000006</v>
      </c>
      <c r="H46" s="8"/>
      <c r="I46" s="12">
        <f>-7011483-965884</f>
        <v>-7977367</v>
      </c>
      <c r="J46" s="3"/>
      <c r="L46" s="3"/>
    </row>
    <row r="47" spans="1:13" x14ac:dyDescent="0.25">
      <c r="A47" s="56"/>
      <c r="B47" s="57" t="s">
        <v>56</v>
      </c>
      <c r="C47" s="6"/>
      <c r="D47" s="57"/>
      <c r="E47" s="57"/>
      <c r="F47" s="57"/>
      <c r="G47" s="14">
        <f>SUM(G33:G46)</f>
        <v>2421751.2700000005</v>
      </c>
      <c r="H47" s="8"/>
      <c r="I47" s="219">
        <f>SUM(I33:I46)+1</f>
        <v>-3629285</v>
      </c>
    </row>
    <row r="48" spans="1:13" ht="15.75" thickBot="1" x14ac:dyDescent="0.3">
      <c r="A48" s="56"/>
      <c r="B48" s="57" t="s">
        <v>57</v>
      </c>
      <c r="C48" s="57"/>
      <c r="D48" s="57"/>
      <c r="E48" s="57"/>
      <c r="F48" s="57"/>
      <c r="G48" s="62">
        <f>G29+G47</f>
        <v>2727395.8700000006</v>
      </c>
      <c r="H48" s="8"/>
      <c r="I48" s="62">
        <f>I29+I47+1</f>
        <v>16306</v>
      </c>
      <c r="J48" s="54"/>
    </row>
    <row r="49" spans="1:12" ht="15.75" thickTop="1" x14ac:dyDescent="0.25">
      <c r="A49" s="56"/>
      <c r="B49" s="63"/>
      <c r="C49" s="63"/>
      <c r="D49" s="63"/>
      <c r="E49" s="63"/>
      <c r="F49" s="63"/>
      <c r="H49" s="56"/>
      <c r="I49" s="64"/>
    </row>
    <row r="50" spans="1:12" s="5" customFormat="1" ht="21" customHeight="1" x14ac:dyDescent="0.2">
      <c r="B50" s="225" t="s">
        <v>71</v>
      </c>
      <c r="C50" s="225"/>
      <c r="D50" s="225"/>
      <c r="E50" s="225"/>
      <c r="F50" s="225"/>
      <c r="G50" s="225"/>
      <c r="H50" s="225"/>
      <c r="I50" s="225"/>
    </row>
    <row r="53" spans="1:12" x14ac:dyDescent="0.25">
      <c r="G53" s="71">
        <f>G48-G15</f>
        <v>0</v>
      </c>
      <c r="I53" s="71">
        <f>I48-I15</f>
        <v>1</v>
      </c>
    </row>
  </sheetData>
  <mergeCells count="8">
    <mergeCell ref="B1:E3"/>
    <mergeCell ref="B50:I50"/>
    <mergeCell ref="B33:D33"/>
    <mergeCell ref="B35:D35"/>
    <mergeCell ref="B37:D37"/>
    <mergeCell ref="B43:D43"/>
    <mergeCell ref="B39:D39"/>
    <mergeCell ref="B41:D41"/>
  </mergeCells>
  <pageMargins left="0.7" right="0.7" top="0.75" bottom="0.75" header="0.3" footer="0.3"/>
  <pageSetup scale="2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C9585-CE0C-416C-AD8F-1F6A28163B6E}">
  <dimension ref="A1:N69"/>
  <sheetViews>
    <sheetView zoomScaleNormal="100" workbookViewId="0">
      <selection activeCell="H70" sqref="H70"/>
    </sheetView>
  </sheetViews>
  <sheetFormatPr defaultColWidth="9.140625" defaultRowHeight="12" x14ac:dyDescent="0.2"/>
  <cols>
    <col min="1" max="3" width="9.140625" style="188"/>
    <col min="4" max="4" width="28.42578125" style="188" customWidth="1"/>
    <col min="5" max="5" width="13.42578125" style="35" bestFit="1" customWidth="1"/>
    <col min="6" max="6" width="1.5703125" style="188" customWidth="1"/>
    <col min="7" max="7" width="13.42578125" style="188" bestFit="1" customWidth="1"/>
    <col min="8" max="8" width="10.5703125" style="188" bestFit="1" customWidth="1"/>
    <col min="9" max="9" width="11.5703125" style="188" bestFit="1" customWidth="1"/>
    <col min="10" max="10" width="13.7109375" style="168" bestFit="1" customWidth="1"/>
    <col min="11" max="11" width="9.140625" style="188"/>
    <col min="12" max="13" width="14.140625" style="188" bestFit="1" customWidth="1"/>
    <col min="14" max="16384" width="9.140625" style="188"/>
  </cols>
  <sheetData>
    <row r="1" spans="1:7" ht="20.100000000000001" customHeight="1" x14ac:dyDescent="0.2">
      <c r="A1" s="227" t="s">
        <v>69</v>
      </c>
      <c r="B1" s="227"/>
      <c r="C1" s="227"/>
      <c r="D1" s="227"/>
    </row>
    <row r="2" spans="1:7" x14ac:dyDescent="0.2">
      <c r="A2" s="227"/>
      <c r="B2" s="227"/>
      <c r="C2" s="227"/>
      <c r="D2" s="227"/>
    </row>
    <row r="3" spans="1:7" x14ac:dyDescent="0.2">
      <c r="A3" s="227"/>
      <c r="B3" s="227"/>
      <c r="C3" s="227"/>
      <c r="D3" s="227"/>
    </row>
    <row r="4" spans="1:7" ht="12.75" customHeight="1" x14ac:dyDescent="0.2">
      <c r="A4" s="227"/>
      <c r="B4" s="227"/>
      <c r="C4" s="227"/>
      <c r="D4" s="227"/>
    </row>
    <row r="5" spans="1:7" ht="30" customHeight="1" x14ac:dyDescent="0.2">
      <c r="E5" s="228" t="s">
        <v>132</v>
      </c>
      <c r="F5" s="229"/>
      <c r="G5" s="229"/>
    </row>
    <row r="6" spans="1:7" ht="13.5" customHeight="1" x14ac:dyDescent="0.2">
      <c r="E6" s="37">
        <v>2021</v>
      </c>
      <c r="F6" s="214"/>
      <c r="G6" s="38">
        <v>2020</v>
      </c>
    </row>
    <row r="7" spans="1:7" x14ac:dyDescent="0.2">
      <c r="A7" s="39" t="s">
        <v>9</v>
      </c>
      <c r="E7" s="151"/>
      <c r="G7" s="189"/>
    </row>
    <row r="8" spans="1:7" x14ac:dyDescent="0.2">
      <c r="E8" s="151"/>
      <c r="G8" s="189"/>
    </row>
    <row r="9" spans="1:7" x14ac:dyDescent="0.2">
      <c r="A9" s="188" t="s">
        <v>59</v>
      </c>
      <c r="E9" s="215">
        <f>'Income Statement'!B25</f>
        <v>338407.21999999986</v>
      </c>
      <c r="F9" s="42"/>
      <c r="G9" s="41">
        <v>-965884</v>
      </c>
    </row>
    <row r="10" spans="1:7" x14ac:dyDescent="0.2">
      <c r="E10" s="151"/>
      <c r="G10" s="189"/>
    </row>
    <row r="11" spans="1:7" x14ac:dyDescent="0.2">
      <c r="A11" s="188" t="s">
        <v>51</v>
      </c>
      <c r="E11" s="151"/>
      <c r="G11" s="189"/>
    </row>
    <row r="12" spans="1:7" x14ac:dyDescent="0.2">
      <c r="A12" s="188" t="s">
        <v>15</v>
      </c>
      <c r="E12" s="151"/>
      <c r="G12" s="189"/>
    </row>
    <row r="13" spans="1:7" x14ac:dyDescent="0.2">
      <c r="A13" s="188" t="s">
        <v>116</v>
      </c>
      <c r="E13" s="151">
        <v>0</v>
      </c>
      <c r="G13" s="189"/>
    </row>
    <row r="14" spans="1:7" x14ac:dyDescent="0.2">
      <c r="A14" s="188" t="s">
        <v>50</v>
      </c>
      <c r="E14" s="216">
        <f>'Income Statement'!B11</f>
        <v>2158.8000000000002</v>
      </c>
      <c r="G14" s="151">
        <v>4640</v>
      </c>
    </row>
    <row r="15" spans="1:7" x14ac:dyDescent="0.2">
      <c r="A15" s="188" t="s">
        <v>100</v>
      </c>
      <c r="E15" s="151">
        <f>-'Income Statement'!F19</f>
        <v>0</v>
      </c>
      <c r="G15" s="151">
        <v>0</v>
      </c>
    </row>
    <row r="16" spans="1:7" x14ac:dyDescent="0.2">
      <c r="A16" s="188" t="s">
        <v>33</v>
      </c>
      <c r="E16" s="216">
        <f>-'Income Statement'!B22</f>
        <v>-1303455.82</v>
      </c>
      <c r="G16" s="151">
        <v>526338</v>
      </c>
    </row>
    <row r="17" spans="1:12" x14ac:dyDescent="0.2">
      <c r="A17" s="188" t="s">
        <v>121</v>
      </c>
      <c r="E17" s="216">
        <f>132250</f>
        <v>132250</v>
      </c>
      <c r="G17" s="151"/>
      <c r="K17" s="151"/>
    </row>
    <row r="18" spans="1:12" x14ac:dyDescent="0.2">
      <c r="A18" s="188" t="s">
        <v>105</v>
      </c>
      <c r="E18" s="151"/>
      <c r="G18" s="189">
        <v>0</v>
      </c>
      <c r="K18" s="151"/>
    </row>
    <row r="19" spans="1:12" x14ac:dyDescent="0.2">
      <c r="A19" s="188" t="s">
        <v>142</v>
      </c>
      <c r="E19" s="151">
        <v>-57381</v>
      </c>
      <c r="G19" s="189"/>
      <c r="K19" s="151"/>
    </row>
    <row r="20" spans="1:12" x14ac:dyDescent="0.2">
      <c r="A20" s="188" t="s">
        <v>149</v>
      </c>
      <c r="E20" s="151">
        <v>0</v>
      </c>
      <c r="G20" s="189"/>
      <c r="K20" s="151"/>
    </row>
    <row r="21" spans="1:12" x14ac:dyDescent="0.2">
      <c r="A21" s="188" t="s">
        <v>37</v>
      </c>
      <c r="E21" s="151"/>
      <c r="G21" s="189"/>
    </row>
    <row r="22" spans="1:12" x14ac:dyDescent="0.2">
      <c r="A22" s="188" t="s">
        <v>61</v>
      </c>
      <c r="E22" s="216">
        <f>('Balance Sheet'!I8-'Balance Sheet'!G8)*1</f>
        <v>-1208.3199999999997</v>
      </c>
      <c r="G22" s="189">
        <v>625</v>
      </c>
      <c r="H22" s="43"/>
      <c r="I22" s="43"/>
    </row>
    <row r="23" spans="1:12" ht="12.75" thickBot="1" x14ac:dyDescent="0.25">
      <c r="A23" s="188" t="s">
        <v>76</v>
      </c>
      <c r="E23" s="217">
        <f>'Balance Sheet'!G18-'Balance Sheet'!I18</f>
        <v>134029.43</v>
      </c>
      <c r="G23" s="45">
        <v>31726</v>
      </c>
      <c r="L23" s="43"/>
    </row>
    <row r="24" spans="1:12" x14ac:dyDescent="0.2">
      <c r="E24" s="151"/>
      <c r="G24" s="189"/>
    </row>
    <row r="25" spans="1:12" x14ac:dyDescent="0.2">
      <c r="E25" s="151"/>
      <c r="G25" s="189"/>
      <c r="H25" s="43"/>
    </row>
    <row r="26" spans="1:12" x14ac:dyDescent="0.2">
      <c r="A26" s="188" t="s">
        <v>16</v>
      </c>
      <c r="E26" s="46">
        <f>E9+SUM(E13:E23)</f>
        <v>-755199.69000000029</v>
      </c>
      <c r="G26" s="190">
        <f>G9+SUM(G14:G23)</f>
        <v>-402555</v>
      </c>
      <c r="H26" s="43"/>
      <c r="I26" s="43">
        <f>G26-E26</f>
        <v>352644.69000000029</v>
      </c>
      <c r="J26" s="168">
        <f>I26/G26</f>
        <v>-0.87601617170324619</v>
      </c>
    </row>
    <row r="27" spans="1:12" x14ac:dyDescent="0.2">
      <c r="E27" s="151"/>
      <c r="G27" s="189"/>
    </row>
    <row r="28" spans="1:12" x14ac:dyDescent="0.2">
      <c r="A28" s="39" t="s">
        <v>10</v>
      </c>
      <c r="E28" s="151"/>
      <c r="G28" s="189"/>
    </row>
    <row r="29" spans="1:12" x14ac:dyDescent="0.2">
      <c r="E29" s="151"/>
      <c r="G29" s="189"/>
    </row>
    <row r="30" spans="1:12" x14ac:dyDescent="0.2">
      <c r="A30" s="154" t="s">
        <v>119</v>
      </c>
      <c r="E30" s="216">
        <v>-378436.31</v>
      </c>
      <c r="G30" s="189"/>
    </row>
    <row r="31" spans="1:12" x14ac:dyDescent="0.2">
      <c r="A31" s="154" t="s">
        <v>137</v>
      </c>
      <c r="E31" s="216">
        <f>74009+57381</f>
        <v>131390</v>
      </c>
      <c r="G31" s="189"/>
    </row>
    <row r="32" spans="1:12" x14ac:dyDescent="0.2">
      <c r="A32" s="154" t="s">
        <v>104</v>
      </c>
      <c r="E32" s="151">
        <v>0</v>
      </c>
      <c r="G32" s="189"/>
    </row>
    <row r="33" spans="1:14" ht="12.75" thickBot="1" x14ac:dyDescent="0.25">
      <c r="A33" s="154" t="s">
        <v>70</v>
      </c>
      <c r="E33" s="217">
        <v>-1952.21</v>
      </c>
      <c r="G33" s="45">
        <v>-5335</v>
      </c>
    </row>
    <row r="35" spans="1:14" x14ac:dyDescent="0.2">
      <c r="A35" s="188" t="s">
        <v>17</v>
      </c>
      <c r="E35" s="151">
        <f>SUM(E29:E33)</f>
        <v>-248998.52</v>
      </c>
      <c r="G35" s="189">
        <f>SUM(G29:G33)</f>
        <v>-5335</v>
      </c>
      <c r="H35" s="43"/>
      <c r="I35" s="43">
        <f>G35-E35</f>
        <v>243663.52</v>
      </c>
      <c r="J35" s="168">
        <f>I35/G35</f>
        <v>-45.672637300843483</v>
      </c>
    </row>
    <row r="36" spans="1:14" x14ac:dyDescent="0.2">
      <c r="E36" s="151"/>
      <c r="G36" s="189"/>
    </row>
    <row r="37" spans="1:14" x14ac:dyDescent="0.2">
      <c r="A37" s="39" t="s">
        <v>11</v>
      </c>
      <c r="E37" s="151"/>
      <c r="G37" s="189"/>
    </row>
    <row r="38" spans="1:14" x14ac:dyDescent="0.2">
      <c r="A38" s="188" t="s">
        <v>106</v>
      </c>
      <c r="E38" s="151"/>
      <c r="G38" s="189">
        <v>0</v>
      </c>
    </row>
    <row r="39" spans="1:14" x14ac:dyDescent="0.2">
      <c r="A39" s="188" t="s">
        <v>38</v>
      </c>
      <c r="E39" s="151">
        <v>0</v>
      </c>
      <c r="G39" s="189">
        <v>0</v>
      </c>
    </row>
    <row r="40" spans="1:14" x14ac:dyDescent="0.2">
      <c r="A40" s="188" t="s">
        <v>124</v>
      </c>
      <c r="E40" s="216">
        <v>0</v>
      </c>
      <c r="G40" s="189"/>
    </row>
    <row r="41" spans="1:14" x14ac:dyDescent="0.2">
      <c r="A41" s="188" t="s">
        <v>125</v>
      </c>
      <c r="E41" s="216">
        <v>0</v>
      </c>
      <c r="G41" s="189"/>
      <c r="L41" s="39"/>
      <c r="M41" s="39"/>
      <c r="N41" s="39"/>
    </row>
    <row r="42" spans="1:14" x14ac:dyDescent="0.2">
      <c r="A42" s="188" t="s">
        <v>135</v>
      </c>
      <c r="E42" s="216">
        <v>0</v>
      </c>
      <c r="G42" s="189"/>
      <c r="L42" s="39"/>
      <c r="M42" s="39"/>
      <c r="N42" s="39"/>
    </row>
    <row r="43" spans="1:14" x14ac:dyDescent="0.2">
      <c r="A43" s="188" t="s">
        <v>136</v>
      </c>
      <c r="E43" s="216">
        <v>0</v>
      </c>
      <c r="G43" s="189"/>
      <c r="L43" s="39"/>
      <c r="M43" s="39"/>
      <c r="N43" s="39"/>
    </row>
    <row r="44" spans="1:14" x14ac:dyDescent="0.2">
      <c r="A44" s="188" t="s">
        <v>140</v>
      </c>
      <c r="E44" s="216">
        <f>721677.15+148</f>
        <v>721825.15</v>
      </c>
      <c r="G44" s="189"/>
    </row>
    <row r="45" spans="1:14" x14ac:dyDescent="0.2">
      <c r="A45" s="188" t="s">
        <v>141</v>
      </c>
      <c r="E45" s="216">
        <f>2388323.4-476346+148</f>
        <v>1912125.4</v>
      </c>
      <c r="G45" s="189"/>
    </row>
    <row r="46" spans="1:14" ht="12.75" thickBot="1" x14ac:dyDescent="0.25">
      <c r="A46" s="188" t="s">
        <v>18</v>
      </c>
      <c r="E46" s="217">
        <v>775910</v>
      </c>
      <c r="G46" s="45">
        <v>408174</v>
      </c>
      <c r="K46" s="43"/>
      <c r="N46" s="43"/>
    </row>
    <row r="48" spans="1:14" ht="12.75" thickBot="1" x14ac:dyDescent="0.25">
      <c r="A48" s="188" t="s">
        <v>19</v>
      </c>
      <c r="E48" s="44">
        <f>SUM(E39:E47)</f>
        <v>3409860.55</v>
      </c>
      <c r="G48" s="45">
        <f>SUM(G38:G47)</f>
        <v>408174</v>
      </c>
      <c r="H48" s="43"/>
      <c r="I48" s="43">
        <f>G48-E48</f>
        <v>-3001686.55</v>
      </c>
      <c r="J48" s="168">
        <f>I48/G48</f>
        <v>-7.353938638913796</v>
      </c>
    </row>
    <row r="50" spans="1:13" x14ac:dyDescent="0.2">
      <c r="A50" s="188" t="s">
        <v>53</v>
      </c>
      <c r="E50" s="47">
        <f>E26+E35+E48</f>
        <v>2405662.3399999994</v>
      </c>
      <c r="G50" s="43">
        <f>G26+G35+G48</f>
        <v>284</v>
      </c>
    </row>
    <row r="52" spans="1:13" x14ac:dyDescent="0.2">
      <c r="A52" s="188" t="s">
        <v>72</v>
      </c>
      <c r="E52" s="220">
        <f>'Balance Sheet'!I7</f>
        <v>2305</v>
      </c>
      <c r="G52" s="55">
        <v>2022</v>
      </c>
    </row>
    <row r="53" spans="1:13" x14ac:dyDescent="0.2">
      <c r="E53" s="151"/>
      <c r="G53" s="176"/>
      <c r="M53" s="128"/>
    </row>
    <row r="54" spans="1:13" ht="12.75" thickBot="1" x14ac:dyDescent="0.25">
      <c r="A54" s="188" t="s">
        <v>73</v>
      </c>
      <c r="E54" s="49">
        <f>+E52+E50</f>
        <v>2407967.3399999994</v>
      </c>
      <c r="F54" s="128"/>
      <c r="G54" s="221">
        <f>G50+G52-1</f>
        <v>2305</v>
      </c>
      <c r="I54" s="128"/>
      <c r="M54" s="128"/>
    </row>
    <row r="55" spans="1:13" ht="12.75" thickTop="1" x14ac:dyDescent="0.2">
      <c r="D55" s="128"/>
      <c r="E55" s="41"/>
      <c r="L55" s="206"/>
      <c r="M55" s="206"/>
    </row>
    <row r="56" spans="1:13" x14ac:dyDescent="0.2">
      <c r="A56" s="188" t="s">
        <v>62</v>
      </c>
      <c r="D56" s="128"/>
      <c r="E56" s="41"/>
    </row>
    <row r="57" spans="1:13" x14ac:dyDescent="0.2">
      <c r="A57" s="188" t="s">
        <v>63</v>
      </c>
      <c r="D57" s="128"/>
      <c r="E57" s="52">
        <v>0</v>
      </c>
      <c r="G57" s="52">
        <v>0</v>
      </c>
    </row>
    <row r="58" spans="1:13" x14ac:dyDescent="0.2">
      <c r="A58" s="188" t="s">
        <v>64</v>
      </c>
      <c r="D58" s="128"/>
      <c r="E58" s="52">
        <v>0</v>
      </c>
      <c r="G58" s="52">
        <v>0</v>
      </c>
    </row>
    <row r="59" spans="1:13" x14ac:dyDescent="0.2">
      <c r="E59" s="51"/>
      <c r="G59" s="43"/>
    </row>
    <row r="60" spans="1:13" x14ac:dyDescent="0.2">
      <c r="E60" s="47"/>
      <c r="G60" s="43"/>
    </row>
    <row r="61" spans="1:13" x14ac:dyDescent="0.2">
      <c r="A61" s="188" t="s">
        <v>20</v>
      </c>
      <c r="E61" s="47"/>
      <c r="G61" s="43"/>
    </row>
    <row r="62" spans="1:13" x14ac:dyDescent="0.2">
      <c r="A62" s="188" t="s">
        <v>124</v>
      </c>
      <c r="E62" s="47">
        <v>-10076</v>
      </c>
      <c r="G62" s="43"/>
    </row>
    <row r="63" spans="1:13" x14ac:dyDescent="0.2">
      <c r="A63" s="188" t="s">
        <v>125</v>
      </c>
      <c r="E63" s="47">
        <v>-17240</v>
      </c>
      <c r="G63" s="43"/>
    </row>
    <row r="64" spans="1:13" x14ac:dyDescent="0.2">
      <c r="A64" s="188" t="s">
        <v>135</v>
      </c>
      <c r="E64" s="52">
        <v>2915749</v>
      </c>
      <c r="G64" s="128">
        <v>0</v>
      </c>
    </row>
    <row r="65" spans="1:12" x14ac:dyDescent="0.2">
      <c r="A65" s="188" t="s">
        <v>136</v>
      </c>
      <c r="E65" s="52">
        <v>13440</v>
      </c>
      <c r="G65" s="128">
        <v>0</v>
      </c>
    </row>
    <row r="66" spans="1:12" x14ac:dyDescent="0.2">
      <c r="E66" s="47"/>
      <c r="G66" s="43"/>
    </row>
    <row r="67" spans="1:12" x14ac:dyDescent="0.2">
      <c r="A67" s="230" t="s">
        <v>71</v>
      </c>
      <c r="B67" s="230"/>
      <c r="C67" s="230"/>
      <c r="D67" s="230"/>
      <c r="E67" s="230"/>
      <c r="F67" s="230"/>
      <c r="G67" s="230"/>
    </row>
    <row r="68" spans="1:12" x14ac:dyDescent="0.2">
      <c r="A68" s="214"/>
      <c r="B68" s="214"/>
      <c r="C68" s="214"/>
      <c r="D68" s="214"/>
      <c r="E68" s="53"/>
      <c r="F68" s="214"/>
      <c r="G68" s="214"/>
    </row>
    <row r="69" spans="1:12" x14ac:dyDescent="0.2">
      <c r="E69" s="151">
        <f>E54-'Balance Sheet'!G7</f>
        <v>0.86999999918043613</v>
      </c>
      <c r="G69" s="43"/>
      <c r="I69" s="183"/>
      <c r="L69" s="183"/>
    </row>
  </sheetData>
  <mergeCells count="3">
    <mergeCell ref="A1:D4"/>
    <mergeCell ref="E5:G5"/>
    <mergeCell ref="A67:G67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44C6B-4310-448D-9697-5754A0327E2E}">
  <dimension ref="A1:AI27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35" sqref="K35"/>
    </sheetView>
  </sheetViews>
  <sheetFormatPr defaultRowHeight="15" x14ac:dyDescent="0.25"/>
  <cols>
    <col min="1" max="1" width="39.42578125" style="265" customWidth="1"/>
    <col min="2" max="2" width="3.140625" style="265" customWidth="1"/>
    <col min="3" max="3" width="7.28515625" style="265" customWidth="1"/>
    <col min="4" max="4" width="2.42578125" style="265" customWidth="1"/>
    <col min="5" max="5" width="8.7109375" style="265" customWidth="1"/>
    <col min="6" max="6" width="2.42578125" style="265" customWidth="1"/>
    <col min="7" max="7" width="8.28515625" style="265" customWidth="1"/>
    <col min="8" max="8" width="2.42578125" style="265" customWidth="1"/>
    <col min="9" max="9" width="8.7109375" style="265" customWidth="1"/>
    <col min="10" max="10" width="2.42578125" style="265" customWidth="1"/>
    <col min="11" max="11" width="7.7109375" style="265" customWidth="1"/>
    <col min="12" max="12" width="2.42578125" style="265" customWidth="1"/>
    <col min="13" max="13" width="9.140625" style="265" customWidth="1"/>
    <col min="14" max="14" width="3.42578125" style="265" customWidth="1"/>
    <col min="15" max="15" width="7.7109375" style="265" customWidth="1"/>
    <col min="16" max="16" width="2.42578125" style="265" customWidth="1"/>
    <col min="17" max="17" width="9.140625" style="265" customWidth="1"/>
    <col min="18" max="18" width="3.42578125" style="265" customWidth="1"/>
    <col min="19" max="19" width="7.7109375" style="265" customWidth="1"/>
    <col min="20" max="20" width="2.42578125" style="265" customWidth="1"/>
    <col min="21" max="21" width="9.140625" style="265" customWidth="1"/>
    <col min="22" max="22" width="2.42578125" style="265" customWidth="1"/>
    <col min="23" max="23" width="11.85546875" style="265" bestFit="1" customWidth="1"/>
    <col min="24" max="24" width="2.42578125" style="265" customWidth="1"/>
    <col min="25" max="25" width="8.5703125" style="265" bestFit="1" customWidth="1"/>
    <col min="26" max="26" width="2.42578125" style="265" customWidth="1"/>
    <col min="27" max="27" width="10.5703125" style="265" bestFit="1" customWidth="1"/>
    <col min="28" max="28" width="4.85546875" style="265" bestFit="1" customWidth="1"/>
    <col min="29" max="29" width="7.85546875" style="265" bestFit="1" customWidth="1"/>
    <col min="30" max="30" width="2.42578125" style="265" customWidth="1"/>
    <col min="31" max="31" width="10" style="265" bestFit="1" customWidth="1"/>
    <col min="32" max="32" width="2.42578125" style="265" customWidth="1"/>
    <col min="33" max="33" width="11.5703125" style="265" bestFit="1" customWidth="1"/>
    <col min="34" max="34" width="2.42578125" style="265" customWidth="1"/>
    <col min="35" max="35" width="10.5703125" style="265" bestFit="1" customWidth="1"/>
    <col min="36" max="36" width="9.140625" style="186"/>
    <col min="37" max="37" width="13.28515625" style="186" bestFit="1" customWidth="1"/>
    <col min="38" max="38" width="9.140625" style="186"/>
    <col min="39" max="39" width="12.140625" style="186" bestFit="1" customWidth="1"/>
    <col min="40" max="16384" width="9.140625" style="186"/>
  </cols>
  <sheetData>
    <row r="1" spans="1:35" x14ac:dyDescent="0.25">
      <c r="A1" s="236" t="s">
        <v>78</v>
      </c>
      <c r="B1" s="237"/>
      <c r="C1" s="237"/>
      <c r="D1" s="237"/>
      <c r="E1" s="237"/>
      <c r="F1" s="237"/>
      <c r="G1" s="237"/>
      <c r="H1" s="237"/>
      <c r="I1" s="237"/>
      <c r="J1" s="238"/>
      <c r="K1" s="238"/>
      <c r="L1" s="238"/>
      <c r="M1" s="237"/>
      <c r="N1" s="237"/>
      <c r="O1" s="237"/>
      <c r="P1" s="237"/>
      <c r="Q1" s="239"/>
      <c r="R1" s="237"/>
      <c r="S1" s="237"/>
      <c r="T1" s="237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</row>
    <row r="2" spans="1:35" x14ac:dyDescent="0.25">
      <c r="A2" s="240" t="s">
        <v>79</v>
      </c>
      <c r="B2" s="240"/>
      <c r="C2" s="240"/>
      <c r="D2" s="240"/>
      <c r="E2" s="240"/>
      <c r="F2" s="237"/>
      <c r="G2" s="237"/>
      <c r="H2" s="237"/>
      <c r="I2" s="237"/>
      <c r="J2" s="238"/>
      <c r="K2" s="238"/>
      <c r="L2" s="238"/>
      <c r="M2" s="237"/>
      <c r="N2" s="237"/>
      <c r="O2" s="237"/>
      <c r="P2" s="237"/>
      <c r="Q2" s="239"/>
      <c r="R2" s="237"/>
      <c r="S2" s="237"/>
      <c r="T2" s="237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</row>
    <row r="3" spans="1:35" x14ac:dyDescent="0.25">
      <c r="A3" s="240" t="s">
        <v>80</v>
      </c>
      <c r="B3" s="237"/>
      <c r="C3" s="237"/>
      <c r="D3" s="237"/>
      <c r="E3" s="237"/>
      <c r="F3" s="237"/>
      <c r="G3" s="237"/>
      <c r="H3" s="237"/>
      <c r="I3" s="237"/>
      <c r="J3" s="238"/>
      <c r="K3" s="238"/>
      <c r="L3" s="238"/>
      <c r="M3" s="237"/>
      <c r="N3" s="237"/>
      <c r="O3" s="237"/>
      <c r="P3" s="237"/>
      <c r="Q3" s="239"/>
      <c r="R3" s="237"/>
      <c r="S3" s="237"/>
      <c r="T3" s="237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</row>
    <row r="4" spans="1:35" x14ac:dyDescent="0.25">
      <c r="A4" s="237"/>
      <c r="B4" s="237"/>
      <c r="C4" s="237"/>
      <c r="D4" s="237"/>
      <c r="E4" s="237"/>
      <c r="F4" s="237"/>
      <c r="G4" s="237"/>
      <c r="H4" s="237"/>
      <c r="I4" s="237"/>
      <c r="J4" s="238"/>
      <c r="K4" s="238"/>
      <c r="L4" s="238"/>
      <c r="M4" s="237"/>
      <c r="N4" s="237"/>
      <c r="O4" s="237"/>
      <c r="P4" s="237"/>
      <c r="Q4" s="239"/>
      <c r="R4" s="237"/>
      <c r="S4" s="237"/>
      <c r="T4" s="237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41"/>
      <c r="AH4" s="239"/>
      <c r="AI4" s="239"/>
    </row>
    <row r="5" spans="1:35" x14ac:dyDescent="0.25">
      <c r="A5" s="237"/>
      <c r="B5" s="237"/>
      <c r="C5" s="237"/>
      <c r="D5" s="237"/>
      <c r="E5" s="237"/>
      <c r="F5" s="237"/>
      <c r="G5" s="237"/>
      <c r="H5" s="237"/>
      <c r="I5" s="237"/>
      <c r="J5" s="238"/>
      <c r="K5" s="238"/>
      <c r="L5" s="238"/>
      <c r="M5" s="237"/>
      <c r="N5" s="237"/>
      <c r="O5" s="237"/>
      <c r="P5" s="237"/>
      <c r="Q5" s="239"/>
      <c r="R5" s="237"/>
      <c r="S5" s="237"/>
      <c r="T5" s="237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41"/>
      <c r="AH5" s="239"/>
      <c r="AI5" s="239"/>
    </row>
    <row r="6" spans="1:35" ht="15.75" thickBot="1" x14ac:dyDescent="0.3">
      <c r="A6" s="237"/>
      <c r="B6" s="237"/>
      <c r="C6" s="242" t="s">
        <v>81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3"/>
      <c r="S6" s="243"/>
      <c r="T6" s="243"/>
      <c r="U6" s="243"/>
      <c r="V6" s="239"/>
      <c r="W6" s="244" t="s">
        <v>12</v>
      </c>
      <c r="X6" s="244"/>
      <c r="Y6" s="244"/>
      <c r="Z6" s="239"/>
      <c r="AA6" s="244" t="s">
        <v>148</v>
      </c>
      <c r="AB6" s="244"/>
      <c r="AC6" s="244"/>
      <c r="AD6" s="239"/>
      <c r="AE6" s="245" t="s">
        <v>82</v>
      </c>
      <c r="AF6" s="239"/>
      <c r="AG6" s="241"/>
      <c r="AH6" s="239"/>
      <c r="AI6" s="239"/>
    </row>
    <row r="7" spans="1:35" ht="16.5" thickTop="1" thickBot="1" x14ac:dyDescent="0.3">
      <c r="A7" s="237"/>
      <c r="B7" s="237"/>
      <c r="C7" s="246" t="s">
        <v>83</v>
      </c>
      <c r="D7" s="246"/>
      <c r="E7" s="246"/>
      <c r="F7" s="237"/>
      <c r="G7" s="246" t="s">
        <v>84</v>
      </c>
      <c r="H7" s="246"/>
      <c r="I7" s="246"/>
      <c r="J7" s="238"/>
      <c r="K7" s="247" t="s">
        <v>85</v>
      </c>
      <c r="L7" s="247"/>
      <c r="M7" s="247"/>
      <c r="N7" s="248"/>
      <c r="O7" s="247" t="s">
        <v>86</v>
      </c>
      <c r="P7" s="247"/>
      <c r="Q7" s="247"/>
      <c r="R7" s="248"/>
      <c r="S7" s="247" t="s">
        <v>144</v>
      </c>
      <c r="T7" s="247"/>
      <c r="U7" s="247"/>
      <c r="V7" s="239"/>
      <c r="W7" s="249"/>
      <c r="X7" s="249"/>
      <c r="Y7" s="249"/>
      <c r="Z7" s="239"/>
      <c r="AA7" s="249"/>
      <c r="AB7" s="249"/>
      <c r="AC7" s="249"/>
      <c r="AD7" s="239"/>
      <c r="AE7" s="245" t="s">
        <v>87</v>
      </c>
      <c r="AF7" s="239"/>
      <c r="AG7" s="245" t="s">
        <v>88</v>
      </c>
      <c r="AH7" s="239"/>
      <c r="AI7" s="239"/>
    </row>
    <row r="8" spans="1:35" ht="15.75" thickBot="1" x14ac:dyDescent="0.3">
      <c r="A8" s="237"/>
      <c r="B8" s="237"/>
      <c r="C8" s="250" t="s">
        <v>89</v>
      </c>
      <c r="D8" s="237"/>
      <c r="E8" s="250" t="s">
        <v>90</v>
      </c>
      <c r="F8" s="237"/>
      <c r="G8" s="250" t="s">
        <v>89</v>
      </c>
      <c r="H8" s="237"/>
      <c r="I8" s="250" t="s">
        <v>90</v>
      </c>
      <c r="J8" s="238"/>
      <c r="K8" s="251" t="s">
        <v>91</v>
      </c>
      <c r="L8" s="238"/>
      <c r="M8" s="251" t="s">
        <v>92</v>
      </c>
      <c r="N8" s="252"/>
      <c r="O8" s="251" t="s">
        <v>91</v>
      </c>
      <c r="P8" s="238"/>
      <c r="Q8" s="251" t="s">
        <v>92</v>
      </c>
      <c r="R8" s="252"/>
      <c r="S8" s="251" t="s">
        <v>91</v>
      </c>
      <c r="T8" s="238"/>
      <c r="U8" s="251" t="s">
        <v>92</v>
      </c>
      <c r="V8" s="239"/>
      <c r="W8" s="251" t="s">
        <v>91</v>
      </c>
      <c r="X8" s="239"/>
      <c r="Y8" s="253" t="s">
        <v>90</v>
      </c>
      <c r="Z8" s="239"/>
      <c r="AA8" s="251" t="s">
        <v>91</v>
      </c>
      <c r="AB8" s="239"/>
      <c r="AC8" s="253" t="s">
        <v>90</v>
      </c>
      <c r="AD8" s="239"/>
      <c r="AE8" s="254" t="s">
        <v>93</v>
      </c>
      <c r="AF8" s="239"/>
      <c r="AG8" s="254" t="s">
        <v>94</v>
      </c>
      <c r="AH8" s="239"/>
      <c r="AI8" s="254" t="s">
        <v>95</v>
      </c>
    </row>
    <row r="9" spans="1:35" ht="15.75" thickTop="1" x14ac:dyDescent="0.25">
      <c r="A9" s="237"/>
      <c r="B9" s="237"/>
      <c r="C9" s="255"/>
      <c r="D9" s="237"/>
      <c r="E9" s="255"/>
      <c r="F9" s="237"/>
      <c r="G9" s="255"/>
      <c r="H9" s="237"/>
      <c r="I9" s="255"/>
      <c r="J9" s="238"/>
      <c r="K9" s="252"/>
      <c r="L9" s="238"/>
      <c r="M9" s="252"/>
      <c r="N9" s="252"/>
      <c r="O9" s="252"/>
      <c r="P9" s="252"/>
      <c r="Q9" s="239"/>
      <c r="R9" s="252"/>
      <c r="S9" s="252"/>
      <c r="T9" s="252"/>
      <c r="U9" s="239"/>
      <c r="V9" s="239"/>
      <c r="W9" s="245"/>
      <c r="X9" s="239"/>
      <c r="Y9" s="245"/>
      <c r="Z9" s="239"/>
      <c r="AA9" s="245"/>
      <c r="AB9" s="239"/>
      <c r="AC9" s="245"/>
      <c r="AD9" s="239"/>
      <c r="AE9" s="245"/>
      <c r="AF9" s="239"/>
      <c r="AG9" s="245"/>
      <c r="AH9" s="239"/>
      <c r="AI9" s="245"/>
    </row>
    <row r="10" spans="1:35" x14ac:dyDescent="0.25">
      <c r="A10" s="237" t="s">
        <v>108</v>
      </c>
      <c r="B10" s="237"/>
      <c r="C10" s="255">
        <v>7500</v>
      </c>
      <c r="D10" s="237"/>
      <c r="E10" s="255">
        <v>8</v>
      </c>
      <c r="F10" s="237"/>
      <c r="G10" s="255">
        <v>68997</v>
      </c>
      <c r="H10" s="237"/>
      <c r="I10" s="255">
        <v>69</v>
      </c>
      <c r="J10" s="238"/>
      <c r="K10" s="255">
        <v>1</v>
      </c>
      <c r="L10" s="238"/>
      <c r="M10" s="255">
        <v>1</v>
      </c>
      <c r="N10" s="252"/>
      <c r="O10" s="255">
        <v>0</v>
      </c>
      <c r="P10" s="252"/>
      <c r="Q10" s="255">
        <v>0</v>
      </c>
      <c r="R10" s="252"/>
      <c r="S10" s="255">
        <v>0</v>
      </c>
      <c r="T10" s="252"/>
      <c r="U10" s="255">
        <v>0</v>
      </c>
      <c r="V10" s="239"/>
      <c r="W10" s="255">
        <v>53988755</v>
      </c>
      <c r="X10" s="239"/>
      <c r="Y10" s="255">
        <f>ROUND(W10*0.001,0)-1</f>
        <v>53988</v>
      </c>
      <c r="Z10" s="239"/>
      <c r="AA10" s="255">
        <v>0</v>
      </c>
      <c r="AB10" s="239"/>
      <c r="AC10" s="255">
        <v>0</v>
      </c>
      <c r="AD10" s="239"/>
      <c r="AE10" s="255">
        <f>4210995</f>
        <v>4210995</v>
      </c>
      <c r="AF10" s="239"/>
      <c r="AG10" s="255">
        <v>-7011482</v>
      </c>
      <c r="AH10" s="239"/>
      <c r="AI10" s="255">
        <f t="shared" ref="AI10:AI11" si="0">AG10+AE10+Y10+Q10+M10+I10+E10+U10+AC10</f>
        <v>-2746421</v>
      </c>
    </row>
    <row r="11" spans="1:35" x14ac:dyDescent="0.25">
      <c r="A11" s="237" t="s">
        <v>118</v>
      </c>
      <c r="B11" s="237"/>
      <c r="C11" s="255"/>
      <c r="D11" s="237"/>
      <c r="E11" s="255"/>
      <c r="F11" s="237"/>
      <c r="G11" s="255"/>
      <c r="H11" s="237"/>
      <c r="I11" s="255"/>
      <c r="J11" s="238"/>
      <c r="K11" s="255"/>
      <c r="L11" s="238"/>
      <c r="M11" s="255"/>
      <c r="N11" s="252"/>
      <c r="O11" s="255"/>
      <c r="P11" s="252"/>
      <c r="Q11" s="255"/>
      <c r="R11" s="252"/>
      <c r="S11" s="255"/>
      <c r="T11" s="252"/>
      <c r="U11" s="255"/>
      <c r="V11" s="239"/>
      <c r="W11" s="255">
        <v>11385276</v>
      </c>
      <c r="X11" s="239"/>
      <c r="Y11" s="255">
        <f>ROUND(W11*0.001,0)+1</f>
        <v>11386</v>
      </c>
      <c r="Z11" s="239"/>
      <c r="AA11" s="255">
        <v>0</v>
      </c>
      <c r="AB11" s="239"/>
      <c r="AC11" s="255">
        <v>0</v>
      </c>
      <c r="AD11" s="239"/>
      <c r="AE11" s="255">
        <f>71635-1</f>
        <v>71634</v>
      </c>
      <c r="AF11" s="239"/>
      <c r="AG11" s="255">
        <v>0</v>
      </c>
      <c r="AH11" s="239"/>
      <c r="AI11" s="255">
        <f t="shared" si="0"/>
        <v>83020</v>
      </c>
    </row>
    <row r="12" spans="1:35" ht="15.75" thickBot="1" x14ac:dyDescent="0.3">
      <c r="A12" s="237" t="s">
        <v>103</v>
      </c>
      <c r="B12" s="256"/>
      <c r="C12" s="257">
        <v>0</v>
      </c>
      <c r="D12" s="256"/>
      <c r="E12" s="257">
        <v>0</v>
      </c>
      <c r="F12" s="256"/>
      <c r="G12" s="257">
        <v>0</v>
      </c>
      <c r="H12" s="256"/>
      <c r="I12" s="257">
        <v>0</v>
      </c>
      <c r="J12" s="238"/>
      <c r="K12" s="257">
        <v>0</v>
      </c>
      <c r="L12" s="238"/>
      <c r="M12" s="257">
        <v>0</v>
      </c>
      <c r="N12" s="256"/>
      <c r="O12" s="257">
        <v>0</v>
      </c>
      <c r="P12" s="256"/>
      <c r="Q12" s="257">
        <v>0</v>
      </c>
      <c r="R12" s="256"/>
      <c r="S12" s="257">
        <v>0</v>
      </c>
      <c r="T12" s="256"/>
      <c r="U12" s="257">
        <v>0</v>
      </c>
      <c r="V12" s="258"/>
      <c r="W12" s="257">
        <v>0</v>
      </c>
      <c r="X12" s="258"/>
      <c r="Y12" s="257">
        <v>0</v>
      </c>
      <c r="Z12" s="258"/>
      <c r="AA12" s="257">
        <v>0</v>
      </c>
      <c r="AB12" s="258"/>
      <c r="AC12" s="257">
        <v>0</v>
      </c>
      <c r="AD12" s="258"/>
      <c r="AE12" s="257">
        <v>0</v>
      </c>
      <c r="AF12" s="258"/>
      <c r="AG12" s="257">
        <v>-965885</v>
      </c>
      <c r="AH12" s="258"/>
      <c r="AI12" s="257">
        <f t="shared" ref="AI12" si="1">AG12+AE12+Y12+Q12+M12+I12+E12</f>
        <v>-965885</v>
      </c>
    </row>
    <row r="13" spans="1:35" ht="15.75" thickTop="1" x14ac:dyDescent="0.25">
      <c r="A13" s="237"/>
      <c r="B13" s="237"/>
      <c r="C13" s="238"/>
      <c r="D13" s="237"/>
      <c r="E13" s="238"/>
      <c r="F13" s="237"/>
      <c r="G13" s="238"/>
      <c r="H13" s="237"/>
      <c r="I13" s="238"/>
      <c r="J13" s="238"/>
      <c r="K13" s="238"/>
      <c r="L13" s="238"/>
      <c r="M13" s="237"/>
      <c r="N13" s="237"/>
      <c r="O13" s="237"/>
      <c r="P13" s="237"/>
      <c r="Q13" s="239"/>
      <c r="R13" s="237"/>
      <c r="S13" s="237"/>
      <c r="T13" s="237"/>
      <c r="U13" s="239"/>
      <c r="V13" s="239"/>
      <c r="W13" s="259"/>
      <c r="X13" s="239"/>
      <c r="Y13" s="259"/>
      <c r="Z13" s="239"/>
      <c r="AA13" s="259"/>
      <c r="AB13" s="239"/>
      <c r="AC13" s="259"/>
      <c r="AD13" s="239"/>
      <c r="AE13" s="259"/>
      <c r="AF13" s="239"/>
      <c r="AG13" s="259"/>
      <c r="AH13" s="239"/>
      <c r="AI13" s="259"/>
    </row>
    <row r="14" spans="1:35" x14ac:dyDescent="0.25">
      <c r="A14" s="237" t="s">
        <v>138</v>
      </c>
      <c r="B14" s="237"/>
      <c r="C14" s="238">
        <f>SUM(C10:C12)</f>
        <v>7500</v>
      </c>
      <c r="D14" s="237"/>
      <c r="E14" s="238">
        <f>SUM(E10:E12)</f>
        <v>8</v>
      </c>
      <c r="F14" s="237"/>
      <c r="G14" s="238">
        <f>SUM(G10:G12)</f>
        <v>68997</v>
      </c>
      <c r="H14" s="237"/>
      <c r="I14" s="238">
        <f>SUM(I10:I12)</f>
        <v>69</v>
      </c>
      <c r="J14" s="238"/>
      <c r="K14" s="238">
        <f>SUM(K10:K12)</f>
        <v>1</v>
      </c>
      <c r="L14" s="238"/>
      <c r="M14" s="238">
        <f>SUM(M10:M12)</f>
        <v>1</v>
      </c>
      <c r="N14" s="256"/>
      <c r="O14" s="238">
        <f>SUM(O10:O12)</f>
        <v>0</v>
      </c>
      <c r="P14" s="256"/>
      <c r="Q14" s="238">
        <f>SUM(Q10:Q12)</f>
        <v>0</v>
      </c>
      <c r="R14" s="256"/>
      <c r="S14" s="238">
        <f>SUM(S10:S12)</f>
        <v>0</v>
      </c>
      <c r="T14" s="256"/>
      <c r="U14" s="238">
        <f>SUM(U10:U12)</f>
        <v>0</v>
      </c>
      <c r="V14" s="239"/>
      <c r="W14" s="238">
        <f>SUM(W10:W12)</f>
        <v>65374031</v>
      </c>
      <c r="X14" s="239"/>
      <c r="Y14" s="238">
        <f>SUM(Y10:Y12)</f>
        <v>65374</v>
      </c>
      <c r="Z14" s="239"/>
      <c r="AA14" s="238">
        <f>SUM(AA10:AA12)</f>
        <v>0</v>
      </c>
      <c r="AB14" s="239"/>
      <c r="AC14" s="238">
        <f>SUM(AC10:AC12)</f>
        <v>0</v>
      </c>
      <c r="AD14" s="239"/>
      <c r="AE14" s="238">
        <f>SUM(AE10:AE12)</f>
        <v>4282629</v>
      </c>
      <c r="AF14" s="239"/>
      <c r="AG14" s="238">
        <f>SUM(AG10:AG12)</f>
        <v>-7977367</v>
      </c>
      <c r="AH14" s="239"/>
      <c r="AI14" s="238">
        <f>SUM(AI10:AI12)</f>
        <v>-3629286</v>
      </c>
    </row>
    <row r="15" spans="1:35" x14ac:dyDescent="0.25">
      <c r="A15" s="237" t="s">
        <v>98</v>
      </c>
      <c r="B15" s="237"/>
      <c r="C15" s="255">
        <v>0</v>
      </c>
      <c r="D15" s="237"/>
      <c r="E15" s="255">
        <v>0</v>
      </c>
      <c r="F15" s="237"/>
      <c r="G15" s="255">
        <f>-18000-29881-2500</f>
        <v>-50381</v>
      </c>
      <c r="H15" s="237"/>
      <c r="I15" s="255">
        <f>-18-30-3</f>
        <v>-51</v>
      </c>
      <c r="J15" s="238"/>
      <c r="K15" s="255">
        <v>0</v>
      </c>
      <c r="L15" s="238"/>
      <c r="M15" s="255">
        <v>0</v>
      </c>
      <c r="N15" s="252"/>
      <c r="O15" s="255">
        <v>0</v>
      </c>
      <c r="P15" s="252"/>
      <c r="Q15" s="255">
        <v>0</v>
      </c>
      <c r="R15" s="252"/>
      <c r="S15" s="255">
        <v>0</v>
      </c>
      <c r="T15" s="252"/>
      <c r="U15" s="255">
        <v>0</v>
      </c>
      <c r="V15" s="239"/>
      <c r="W15" s="255">
        <f>3600000+5976200+500000</f>
        <v>10076200</v>
      </c>
      <c r="X15" s="239"/>
      <c r="Y15" s="255">
        <f>3600+5976+500</f>
        <v>10076</v>
      </c>
      <c r="Z15" s="239"/>
      <c r="AA15" s="255">
        <v>0</v>
      </c>
      <c r="AB15" s="239">
        <v>0</v>
      </c>
      <c r="AC15" s="255">
        <v>0</v>
      </c>
      <c r="AD15" s="239"/>
      <c r="AE15" s="255">
        <f>-3582-5946-497</f>
        <v>-10025</v>
      </c>
      <c r="AF15" s="239"/>
      <c r="AG15" s="255">
        <v>0</v>
      </c>
      <c r="AH15" s="239"/>
      <c r="AI15" s="255">
        <f t="shared" ref="AI15:AI19" si="2">AG15+AE15+Y15+Q15+M15+I15+E15+U15+AC15</f>
        <v>0</v>
      </c>
    </row>
    <row r="16" spans="1:35" x14ac:dyDescent="0.25">
      <c r="A16" s="237" t="s">
        <v>123</v>
      </c>
      <c r="B16" s="237"/>
      <c r="C16" s="255">
        <v>0</v>
      </c>
      <c r="D16" s="237"/>
      <c r="E16" s="255">
        <v>0</v>
      </c>
      <c r="F16" s="237"/>
      <c r="G16" s="255">
        <v>0</v>
      </c>
      <c r="H16" s="237"/>
      <c r="I16" s="255">
        <v>0</v>
      </c>
      <c r="J16" s="238"/>
      <c r="K16" s="255">
        <v>0</v>
      </c>
      <c r="L16" s="238"/>
      <c r="M16" s="255">
        <v>0</v>
      </c>
      <c r="N16" s="252"/>
      <c r="O16" s="255">
        <v>0</v>
      </c>
      <c r="P16" s="252"/>
      <c r="Q16" s="255">
        <v>0</v>
      </c>
      <c r="R16" s="252"/>
      <c r="S16" s="255">
        <v>0</v>
      </c>
      <c r="T16" s="252"/>
      <c r="U16" s="255">
        <v>0</v>
      </c>
      <c r="V16" s="239"/>
      <c r="W16" s="255">
        <v>5085000</v>
      </c>
      <c r="X16" s="239"/>
      <c r="Y16" s="255">
        <v>5085</v>
      </c>
      <c r="Z16" s="239"/>
      <c r="AA16" s="255">
        <v>0</v>
      </c>
      <c r="AB16" s="239">
        <v>0</v>
      </c>
      <c r="AC16" s="255">
        <v>0</v>
      </c>
      <c r="AD16" s="239"/>
      <c r="AE16" s="255">
        <f>183+126982</f>
        <v>127165</v>
      </c>
      <c r="AF16" s="239"/>
      <c r="AG16" s="255">
        <v>0</v>
      </c>
      <c r="AH16" s="239"/>
      <c r="AI16" s="255">
        <f t="shared" si="2"/>
        <v>132250</v>
      </c>
    </row>
    <row r="17" spans="1:35" x14ac:dyDescent="0.25">
      <c r="A17" s="237" t="s">
        <v>143</v>
      </c>
      <c r="B17" s="237"/>
      <c r="C17" s="255">
        <v>0</v>
      </c>
      <c r="D17" s="237"/>
      <c r="E17" s="255">
        <v>0</v>
      </c>
      <c r="F17" s="237"/>
      <c r="G17" s="255">
        <v>0</v>
      </c>
      <c r="H17" s="237"/>
      <c r="I17" s="255">
        <v>0</v>
      </c>
      <c r="J17" s="238"/>
      <c r="K17" s="255">
        <v>0</v>
      </c>
      <c r="L17" s="238"/>
      <c r="M17" s="255">
        <v>0</v>
      </c>
      <c r="N17" s="252"/>
      <c r="O17" s="255">
        <v>0</v>
      </c>
      <c r="P17" s="252"/>
      <c r="Q17" s="255">
        <v>0</v>
      </c>
      <c r="R17" s="252"/>
      <c r="S17" s="255">
        <v>57663</v>
      </c>
      <c r="T17" s="252"/>
      <c r="U17" s="255">
        <v>58</v>
      </c>
      <c r="V17" s="239"/>
      <c r="W17" s="255">
        <v>0</v>
      </c>
      <c r="X17" s="239"/>
      <c r="Y17" s="255">
        <v>0</v>
      </c>
      <c r="Z17" s="239"/>
      <c r="AA17" s="255">
        <v>0</v>
      </c>
      <c r="AB17" s="239">
        <v>0</v>
      </c>
      <c r="AC17" s="255">
        <v>0</v>
      </c>
      <c r="AD17" s="239"/>
      <c r="AE17" s="255">
        <v>2915691</v>
      </c>
      <c r="AF17" s="239"/>
      <c r="AG17" s="255">
        <v>0</v>
      </c>
      <c r="AH17" s="239"/>
      <c r="AI17" s="255">
        <f t="shared" si="2"/>
        <v>2915749</v>
      </c>
    </row>
    <row r="18" spans="1:35" x14ac:dyDescent="0.25">
      <c r="A18" s="237" t="s">
        <v>145</v>
      </c>
      <c r="B18" s="237"/>
      <c r="C18" s="255">
        <v>0</v>
      </c>
      <c r="D18" s="237"/>
      <c r="E18" s="255">
        <v>0</v>
      </c>
      <c r="F18" s="237"/>
      <c r="G18" s="255">
        <v>1680</v>
      </c>
      <c r="H18" s="237"/>
      <c r="I18" s="255">
        <v>2</v>
      </c>
      <c r="J18" s="238"/>
      <c r="K18" s="255">
        <v>0</v>
      </c>
      <c r="L18" s="238"/>
      <c r="M18" s="255">
        <v>0</v>
      </c>
      <c r="N18" s="252"/>
      <c r="O18" s="255">
        <v>0</v>
      </c>
      <c r="P18" s="252"/>
      <c r="Q18" s="255">
        <v>0</v>
      </c>
      <c r="R18" s="252"/>
      <c r="S18" s="255">
        <v>0</v>
      </c>
      <c r="T18" s="252"/>
      <c r="U18" s="255">
        <v>0</v>
      </c>
      <c r="V18" s="239"/>
      <c r="W18" s="255">
        <v>0</v>
      </c>
      <c r="X18" s="239"/>
      <c r="Y18" s="255">
        <v>0</v>
      </c>
      <c r="Z18" s="239"/>
      <c r="AA18" s="255">
        <v>0</v>
      </c>
      <c r="AB18" s="239">
        <v>0</v>
      </c>
      <c r="AC18" s="255">
        <v>0</v>
      </c>
      <c r="AD18" s="239"/>
      <c r="AE18" s="255">
        <v>13438</v>
      </c>
      <c r="AF18" s="239"/>
      <c r="AG18" s="255">
        <v>0</v>
      </c>
      <c r="AH18" s="239"/>
      <c r="AI18" s="255">
        <f t="shared" si="2"/>
        <v>13440</v>
      </c>
    </row>
    <row r="19" spans="1:35" x14ac:dyDescent="0.25">
      <c r="A19" s="237" t="s">
        <v>146</v>
      </c>
      <c r="B19" s="237"/>
      <c r="C19" s="255">
        <v>0</v>
      </c>
      <c r="D19" s="237"/>
      <c r="E19" s="255">
        <v>0</v>
      </c>
      <c r="F19" s="237"/>
      <c r="G19" s="255">
        <v>0</v>
      </c>
      <c r="H19" s="237"/>
      <c r="I19" s="255">
        <v>0</v>
      </c>
      <c r="J19" s="238"/>
      <c r="K19" s="255">
        <v>0</v>
      </c>
      <c r="L19" s="238"/>
      <c r="M19" s="255">
        <v>0</v>
      </c>
      <c r="N19" s="252"/>
      <c r="O19" s="255">
        <v>0</v>
      </c>
      <c r="P19" s="252"/>
      <c r="Q19" s="255">
        <v>0</v>
      </c>
      <c r="R19" s="252"/>
      <c r="S19" s="255">
        <v>0</v>
      </c>
      <c r="T19" s="252"/>
      <c r="U19" s="255">
        <v>0</v>
      </c>
      <c r="V19" s="239"/>
      <c r="W19" s="255">
        <v>1257476</v>
      </c>
      <c r="X19" s="239"/>
      <c r="Y19" s="255">
        <f>1257+1</f>
        <v>1258</v>
      </c>
      <c r="Z19" s="239"/>
      <c r="AA19" s="255">
        <v>0</v>
      </c>
      <c r="AB19" s="239">
        <v>0</v>
      </c>
      <c r="AC19" s="255">
        <v>0</v>
      </c>
      <c r="AD19" s="239"/>
      <c r="AE19" s="255">
        <f>15983-1</f>
        <v>15982</v>
      </c>
      <c r="AF19" s="239"/>
      <c r="AG19" s="255">
        <v>0</v>
      </c>
      <c r="AH19" s="239"/>
      <c r="AI19" s="255">
        <f t="shared" si="2"/>
        <v>17240</v>
      </c>
    </row>
    <row r="20" spans="1:35" x14ac:dyDescent="0.25">
      <c r="A20" s="237" t="s">
        <v>147</v>
      </c>
      <c r="B20" s="237"/>
      <c r="C20" s="255">
        <v>0</v>
      </c>
      <c r="D20" s="237"/>
      <c r="E20" s="255">
        <v>0</v>
      </c>
      <c r="F20" s="237"/>
      <c r="G20" s="255">
        <v>0</v>
      </c>
      <c r="H20" s="237"/>
      <c r="I20" s="255">
        <v>0</v>
      </c>
      <c r="J20" s="238"/>
      <c r="K20" s="255">
        <v>0</v>
      </c>
      <c r="L20" s="238"/>
      <c r="M20" s="255">
        <v>0</v>
      </c>
      <c r="N20" s="252"/>
      <c r="O20" s="255">
        <v>0</v>
      </c>
      <c r="P20" s="252"/>
      <c r="Q20" s="255">
        <v>0</v>
      </c>
      <c r="R20" s="252"/>
      <c r="S20" s="255">
        <v>0</v>
      </c>
      <c r="T20" s="252"/>
      <c r="U20" s="255">
        <v>0</v>
      </c>
      <c r="V20" s="239"/>
      <c r="W20" s="255">
        <v>0</v>
      </c>
      <c r="X20" s="239"/>
      <c r="Y20" s="255">
        <v>0</v>
      </c>
      <c r="Z20" s="239"/>
      <c r="AA20" s="255">
        <f>1477848+3333333</f>
        <v>4811181</v>
      </c>
      <c r="AB20" s="239"/>
      <c r="AC20" s="255">
        <f>148+333</f>
        <v>481</v>
      </c>
      <c r="AD20" s="239"/>
      <c r="AE20" s="255">
        <f>221529+499667+148</f>
        <v>721344</v>
      </c>
      <c r="AF20" s="239"/>
      <c r="AG20" s="255">
        <v>0</v>
      </c>
      <c r="AH20" s="239"/>
      <c r="AI20" s="255">
        <f>AG20+AE20+Y20+Q20+M20+I20+E20+U20+AC20</f>
        <v>721825</v>
      </c>
    </row>
    <row r="21" spans="1:35" x14ac:dyDescent="0.25">
      <c r="A21" s="237" t="s">
        <v>152</v>
      </c>
      <c r="B21" s="237"/>
      <c r="C21" s="255">
        <v>0</v>
      </c>
      <c r="D21" s="237"/>
      <c r="E21" s="255">
        <v>0</v>
      </c>
      <c r="F21" s="237"/>
      <c r="G21" s="255">
        <v>0</v>
      </c>
      <c r="H21" s="237"/>
      <c r="I21" s="255">
        <v>0</v>
      </c>
      <c r="J21" s="238"/>
      <c r="K21" s="255">
        <v>0</v>
      </c>
      <c r="L21" s="238"/>
      <c r="M21" s="255">
        <v>0</v>
      </c>
      <c r="N21" s="252"/>
      <c r="O21" s="255">
        <v>0</v>
      </c>
      <c r="P21" s="252"/>
      <c r="Q21" s="255">
        <v>0</v>
      </c>
      <c r="R21" s="252"/>
      <c r="S21" s="255">
        <v>0</v>
      </c>
      <c r="T21" s="252"/>
      <c r="U21" s="255">
        <v>0</v>
      </c>
      <c r="V21" s="239"/>
      <c r="W21" s="255">
        <f>15922156</f>
        <v>15922156</v>
      </c>
      <c r="X21" s="239"/>
      <c r="Y21" s="255">
        <f>ROUND(W21*0.001,0)</f>
        <v>15922</v>
      </c>
      <c r="Z21" s="239"/>
      <c r="AA21" s="255">
        <v>0</v>
      </c>
      <c r="AB21" s="239"/>
      <c r="AC21" s="255">
        <v>0</v>
      </c>
      <c r="AD21" s="239"/>
      <c r="AE21" s="255">
        <f>2372401</f>
        <v>2372401</v>
      </c>
      <c r="AF21" s="239"/>
      <c r="AG21" s="255">
        <v>0</v>
      </c>
      <c r="AH21" s="239"/>
      <c r="AI21" s="255">
        <f t="shared" ref="AI21:AI24" si="3">AG21+AE21+Y21+Q21+M21+I21+E21+U21+AC21</f>
        <v>2388323</v>
      </c>
    </row>
    <row r="22" spans="1:35" x14ac:dyDescent="0.25">
      <c r="A22" s="237" t="s">
        <v>153</v>
      </c>
      <c r="B22" s="237"/>
      <c r="C22" s="255">
        <v>0</v>
      </c>
      <c r="D22" s="237"/>
      <c r="E22" s="255">
        <v>0</v>
      </c>
      <c r="F22" s="237"/>
      <c r="G22" s="255">
        <v>0</v>
      </c>
      <c r="H22" s="237"/>
      <c r="I22" s="255">
        <v>0</v>
      </c>
      <c r="J22" s="238"/>
      <c r="K22" s="255">
        <v>0</v>
      </c>
      <c r="L22" s="238"/>
      <c r="M22" s="255">
        <v>0</v>
      </c>
      <c r="N22" s="252"/>
      <c r="O22" s="255">
        <v>0</v>
      </c>
      <c r="P22" s="252"/>
      <c r="Q22" s="255">
        <v>0</v>
      </c>
      <c r="R22" s="252"/>
      <c r="S22" s="255">
        <v>0</v>
      </c>
      <c r="T22" s="252"/>
      <c r="U22" s="255">
        <v>0</v>
      </c>
      <c r="V22" s="239"/>
      <c r="W22" s="255">
        <v>5811181</v>
      </c>
      <c r="X22" s="239"/>
      <c r="Y22" s="255">
        <f>ROUND(W22*0.001,0)</f>
        <v>5811</v>
      </c>
      <c r="Z22" s="239"/>
      <c r="AA22" s="255">
        <v>-1477848</v>
      </c>
      <c r="AB22" s="239"/>
      <c r="AC22" s="255">
        <v>-148</v>
      </c>
      <c r="AD22" s="239"/>
      <c r="AE22" s="255">
        <v>-5663</v>
      </c>
      <c r="AF22" s="239"/>
      <c r="AG22" s="255"/>
      <c r="AH22" s="239"/>
      <c r="AI22" s="255">
        <f t="shared" si="3"/>
        <v>0</v>
      </c>
    </row>
    <row r="23" spans="1:35" x14ac:dyDescent="0.25">
      <c r="A23" s="237" t="s">
        <v>154</v>
      </c>
      <c r="B23" s="237"/>
      <c r="C23" s="255">
        <v>0</v>
      </c>
      <c r="D23" s="237"/>
      <c r="E23" s="255">
        <v>0</v>
      </c>
      <c r="F23" s="237"/>
      <c r="G23" s="255">
        <v>0</v>
      </c>
      <c r="H23" s="237"/>
      <c r="I23" s="255">
        <v>0</v>
      </c>
      <c r="J23" s="238"/>
      <c r="K23" s="255">
        <v>0</v>
      </c>
      <c r="L23" s="238"/>
      <c r="M23" s="255">
        <v>0</v>
      </c>
      <c r="N23" s="252"/>
      <c r="O23" s="255">
        <v>0</v>
      </c>
      <c r="P23" s="252"/>
      <c r="Q23" s="255">
        <v>0</v>
      </c>
      <c r="R23" s="252"/>
      <c r="S23" s="255">
        <v>0</v>
      </c>
      <c r="T23" s="252"/>
      <c r="U23" s="255">
        <v>0</v>
      </c>
      <c r="V23" s="239"/>
      <c r="W23" s="255">
        <v>0</v>
      </c>
      <c r="X23" s="239"/>
      <c r="Y23" s="255">
        <v>0</v>
      </c>
      <c r="Z23" s="239"/>
      <c r="AA23" s="255">
        <v>0</v>
      </c>
      <c r="AB23" s="239"/>
      <c r="AC23" s="255">
        <v>0</v>
      </c>
      <c r="AD23" s="239"/>
      <c r="AE23" s="255">
        <v>-476198</v>
      </c>
      <c r="AF23" s="239"/>
      <c r="AG23" s="255">
        <v>0</v>
      </c>
      <c r="AH23" s="239"/>
      <c r="AI23" s="255">
        <f t="shared" si="3"/>
        <v>-476198</v>
      </c>
    </row>
    <row r="24" spans="1:35" ht="15.75" thickBot="1" x14ac:dyDescent="0.3">
      <c r="A24" s="237" t="s">
        <v>155</v>
      </c>
      <c r="B24" s="256"/>
      <c r="C24" s="257">
        <v>0</v>
      </c>
      <c r="D24" s="256"/>
      <c r="E24" s="257">
        <v>0</v>
      </c>
      <c r="F24" s="256"/>
      <c r="G24" s="257">
        <v>0</v>
      </c>
      <c r="H24" s="256"/>
      <c r="I24" s="257">
        <v>0</v>
      </c>
      <c r="J24" s="238"/>
      <c r="K24" s="257">
        <v>0</v>
      </c>
      <c r="L24" s="238"/>
      <c r="M24" s="257">
        <v>0</v>
      </c>
      <c r="N24" s="256"/>
      <c r="O24" s="257">
        <v>0</v>
      </c>
      <c r="P24" s="256"/>
      <c r="Q24" s="257">
        <v>0</v>
      </c>
      <c r="R24" s="256"/>
      <c r="S24" s="257">
        <v>0</v>
      </c>
      <c r="T24" s="256"/>
      <c r="U24" s="257">
        <v>0</v>
      </c>
      <c r="V24" s="258"/>
      <c r="W24" s="257">
        <v>0</v>
      </c>
      <c r="X24" s="258"/>
      <c r="Y24" s="257">
        <v>0</v>
      </c>
      <c r="Z24" s="258"/>
      <c r="AA24" s="257">
        <v>0</v>
      </c>
      <c r="AB24" s="258"/>
      <c r="AC24" s="257">
        <v>0</v>
      </c>
      <c r="AD24" s="258"/>
      <c r="AE24" s="257">
        <v>0</v>
      </c>
      <c r="AF24" s="258"/>
      <c r="AG24" s="257">
        <v>338408</v>
      </c>
      <c r="AH24" s="258"/>
      <c r="AI24" s="257">
        <f t="shared" si="3"/>
        <v>338408</v>
      </c>
    </row>
    <row r="25" spans="1:35" ht="15.75" thickTop="1" x14ac:dyDescent="0.25">
      <c r="A25" s="237"/>
      <c r="B25" s="237"/>
      <c r="C25" s="238"/>
      <c r="D25" s="237"/>
      <c r="E25" s="238"/>
      <c r="F25" s="237"/>
      <c r="G25" s="238"/>
      <c r="H25" s="237"/>
      <c r="I25" s="238"/>
      <c r="J25" s="238"/>
      <c r="K25" s="238"/>
      <c r="L25" s="238"/>
      <c r="M25" s="237"/>
      <c r="N25" s="237"/>
      <c r="O25" s="237"/>
      <c r="P25" s="237"/>
      <c r="Q25" s="239"/>
      <c r="R25" s="237"/>
      <c r="S25" s="237"/>
      <c r="T25" s="237"/>
      <c r="U25" s="239"/>
      <c r="V25" s="239"/>
      <c r="W25" s="259"/>
      <c r="X25" s="239"/>
      <c r="Y25" s="259"/>
      <c r="Z25" s="239"/>
      <c r="AA25" s="259"/>
      <c r="AB25" s="239"/>
      <c r="AC25" s="259"/>
      <c r="AD25" s="239"/>
      <c r="AE25" s="259"/>
      <c r="AF25" s="239"/>
      <c r="AG25" s="259"/>
      <c r="AH25" s="239"/>
      <c r="AI25" s="259"/>
    </row>
    <row r="26" spans="1:35" ht="15.75" thickBot="1" x14ac:dyDescent="0.3">
      <c r="A26" s="260" t="s">
        <v>139</v>
      </c>
      <c r="B26" s="260"/>
      <c r="C26" s="264">
        <f>SUM(C14:C25)</f>
        <v>7500</v>
      </c>
      <c r="D26" s="260"/>
      <c r="E26" s="264">
        <f>SUM(E14:E25)</f>
        <v>8</v>
      </c>
      <c r="F26" s="260"/>
      <c r="G26" s="264">
        <f>SUM(G14:G25)</f>
        <v>20296</v>
      </c>
      <c r="H26" s="260"/>
      <c r="I26" s="264">
        <f>SUM(I14:I25)</f>
        <v>20</v>
      </c>
      <c r="J26" s="261"/>
      <c r="K26" s="264">
        <f>SUM(K14:K25)</f>
        <v>1</v>
      </c>
      <c r="L26" s="261"/>
      <c r="M26" s="264">
        <f>SUM(M14:M25)</f>
        <v>1</v>
      </c>
      <c r="N26" s="262" t="s">
        <v>96</v>
      </c>
      <c r="O26" s="264">
        <f>SUM(O14:O25)</f>
        <v>0</v>
      </c>
      <c r="P26" s="262"/>
      <c r="Q26" s="264">
        <f>SUM(Q14:Q25)</f>
        <v>0</v>
      </c>
      <c r="R26" s="262" t="s">
        <v>96</v>
      </c>
      <c r="S26" s="264">
        <f>SUM(S14:S25)</f>
        <v>57663</v>
      </c>
      <c r="T26" s="262"/>
      <c r="U26" s="264">
        <f>SUM(U14:U25)</f>
        <v>58</v>
      </c>
      <c r="V26" s="263"/>
      <c r="W26" s="264">
        <f>SUM(W14:W25)</f>
        <v>103526044</v>
      </c>
      <c r="X26" s="263"/>
      <c r="Y26" s="264">
        <f>SUM(Y14:Y25)</f>
        <v>103526</v>
      </c>
      <c r="Z26" s="263"/>
      <c r="AA26" s="264">
        <f>SUM(AA14:AA25)</f>
        <v>3333333</v>
      </c>
      <c r="AB26" s="263"/>
      <c r="AC26" s="264">
        <f>SUM(AC14:AC25)</f>
        <v>333</v>
      </c>
      <c r="AD26" s="263"/>
      <c r="AE26" s="264">
        <f>SUM(AE14:AE25)</f>
        <v>9956764</v>
      </c>
      <c r="AF26" s="263"/>
      <c r="AG26" s="264">
        <f>SUM(AG14:AG25)</f>
        <v>-7638959</v>
      </c>
      <c r="AH26" s="263"/>
      <c r="AI26" s="264">
        <f>SUM(AI14:AI25)</f>
        <v>2421751</v>
      </c>
    </row>
    <row r="27" spans="1:35" ht="15.75" thickTop="1" x14ac:dyDescent="0.25"/>
  </sheetData>
  <mergeCells count="8">
    <mergeCell ref="C6:Q6"/>
    <mergeCell ref="W6:Y6"/>
    <mergeCell ref="AA6:AC6"/>
    <mergeCell ref="C7:E7"/>
    <mergeCell ref="G7:I7"/>
    <mergeCell ref="K7:M7"/>
    <mergeCell ref="O7:Q7"/>
    <mergeCell ref="S7:U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2F3B-EA96-4EB5-BACA-468A823A5C03}">
  <dimension ref="A1:AH32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Q54" sqref="Q54"/>
    </sheetView>
  </sheetViews>
  <sheetFormatPr defaultColWidth="9.140625" defaultRowHeight="12" x14ac:dyDescent="0.2"/>
  <cols>
    <col min="1" max="1" width="47" style="36" bestFit="1" customWidth="1"/>
    <col min="2" max="2" width="0" style="36" hidden="1" customWidth="1"/>
    <col min="3" max="3" width="9.28515625" style="40" bestFit="1" customWidth="1"/>
    <col min="4" max="4" width="3.28515625" style="40" hidden="1" customWidth="1"/>
    <col min="5" max="5" width="9.28515625" style="40" bestFit="1" customWidth="1"/>
    <col min="6" max="6" width="3.140625" style="40" hidden="1" customWidth="1"/>
    <col min="7" max="7" width="10" style="40" bestFit="1" customWidth="1"/>
    <col min="8" max="8" width="3" style="40" hidden="1" customWidth="1"/>
    <col min="9" max="9" width="9.140625" style="40"/>
    <col min="10" max="10" width="2.5703125" style="40" hidden="1" customWidth="1"/>
    <col min="11" max="11" width="9.140625" style="40"/>
    <col min="12" max="12" width="2" style="40" hidden="1" customWidth="1"/>
    <col min="13" max="13" width="9.140625" style="36"/>
    <col min="14" max="14" width="3.42578125" style="36" hidden="1" customWidth="1"/>
    <col min="15" max="15" width="9.140625" style="36"/>
    <col min="16" max="16" width="2.140625" style="36" hidden="1" customWidth="1"/>
    <col min="17" max="17" width="9.140625" style="36"/>
    <col min="18" max="18" width="1.85546875" style="36" customWidth="1"/>
    <col min="19" max="19" width="12.42578125" style="48" bestFit="1" customWidth="1"/>
    <col min="20" max="20" width="2.5703125" style="36" hidden="1" customWidth="1"/>
    <col min="21" max="21" width="11" style="36" bestFit="1" customWidth="1"/>
    <col min="22" max="22" width="3.42578125" style="36" hidden="1" customWidth="1"/>
    <col min="23" max="23" width="13.7109375" style="36" bestFit="1" customWidth="1"/>
    <col min="24" max="24" width="3.140625" style="36" hidden="1" customWidth="1"/>
    <col min="25" max="25" width="12.5703125" style="36" customWidth="1"/>
    <col min="26" max="26" width="3.140625" style="36" hidden="1" customWidth="1"/>
    <col min="27" max="27" width="14.140625" style="40" bestFit="1" customWidth="1"/>
    <col min="28" max="28" width="0" style="36" hidden="1" customWidth="1"/>
    <col min="29" max="29" width="13.5703125" style="36" bestFit="1" customWidth="1"/>
    <col min="30" max="30" width="11.5703125" style="36" bestFit="1" customWidth="1"/>
    <col min="31" max="31" width="11" style="36" bestFit="1" customWidth="1"/>
    <col min="32" max="16384" width="9.140625" style="36"/>
  </cols>
  <sheetData>
    <row r="1" spans="1:30" x14ac:dyDescent="0.2">
      <c r="A1" s="75" t="s">
        <v>78</v>
      </c>
      <c r="J1" s="76"/>
      <c r="K1" s="76"/>
      <c r="L1" s="76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79"/>
    </row>
    <row r="2" spans="1:30" ht="15" customHeight="1" x14ac:dyDescent="0.2">
      <c r="A2" s="80" t="s">
        <v>79</v>
      </c>
      <c r="B2" s="80"/>
      <c r="C2" s="81"/>
      <c r="D2" s="81"/>
      <c r="E2" s="81"/>
      <c r="J2" s="76"/>
      <c r="K2" s="76"/>
      <c r="L2" s="76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79"/>
    </row>
    <row r="3" spans="1:30" x14ac:dyDescent="0.2">
      <c r="A3" s="80" t="s">
        <v>80</v>
      </c>
      <c r="J3" s="76"/>
      <c r="K3" s="76"/>
      <c r="L3" s="76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79"/>
    </row>
    <row r="4" spans="1:30" x14ac:dyDescent="0.2">
      <c r="J4" s="76"/>
      <c r="K4" s="76"/>
      <c r="L4" s="76"/>
      <c r="Q4" s="77"/>
      <c r="R4" s="77"/>
      <c r="S4" s="77"/>
      <c r="T4" s="77"/>
      <c r="U4" s="77"/>
      <c r="V4" s="77"/>
      <c r="W4" s="77"/>
      <c r="X4" s="77"/>
      <c r="Y4" s="82"/>
      <c r="Z4" s="77"/>
      <c r="AA4" s="78"/>
      <c r="AB4" s="79"/>
    </row>
    <row r="5" spans="1:30" x14ac:dyDescent="0.2">
      <c r="J5" s="76"/>
      <c r="K5" s="76"/>
      <c r="L5" s="76"/>
      <c r="Q5" s="77"/>
      <c r="R5" s="77"/>
      <c r="S5" s="77"/>
      <c r="T5" s="77"/>
      <c r="U5" s="77"/>
      <c r="V5" s="77"/>
      <c r="W5" s="77"/>
      <c r="X5" s="77"/>
      <c r="Y5" s="82"/>
      <c r="Z5" s="77"/>
      <c r="AA5" s="78"/>
      <c r="AB5" s="79"/>
    </row>
    <row r="6" spans="1:30" ht="15.75" customHeight="1" thickBot="1" x14ac:dyDescent="0.25">
      <c r="C6" s="231" t="s">
        <v>81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77"/>
      <c r="S6" s="232" t="s">
        <v>12</v>
      </c>
      <c r="T6" s="232"/>
      <c r="U6" s="232"/>
      <c r="V6" s="77"/>
      <c r="W6" s="83" t="s">
        <v>82</v>
      </c>
      <c r="X6" s="77"/>
      <c r="Y6" s="82"/>
      <c r="Z6" s="77"/>
      <c r="AA6" s="78"/>
      <c r="AB6" s="79"/>
    </row>
    <row r="7" spans="1:30" ht="15.75" customHeight="1" thickTop="1" thickBot="1" x14ac:dyDescent="0.25">
      <c r="C7" s="233" t="s">
        <v>83</v>
      </c>
      <c r="D7" s="233"/>
      <c r="E7" s="233"/>
      <c r="G7" s="233" t="s">
        <v>84</v>
      </c>
      <c r="H7" s="233"/>
      <c r="I7" s="233"/>
      <c r="J7" s="76"/>
      <c r="K7" s="234" t="s">
        <v>85</v>
      </c>
      <c r="L7" s="234"/>
      <c r="M7" s="234"/>
      <c r="N7" s="84"/>
      <c r="O7" s="234" t="s">
        <v>86</v>
      </c>
      <c r="P7" s="234"/>
      <c r="Q7" s="234"/>
      <c r="R7" s="77"/>
      <c r="S7" s="85"/>
      <c r="T7" s="85"/>
      <c r="U7" s="85"/>
      <c r="V7" s="77"/>
      <c r="W7" s="83" t="s">
        <v>87</v>
      </c>
      <c r="X7" s="77"/>
      <c r="Y7" s="83" t="s">
        <v>88</v>
      </c>
      <c r="Z7" s="77"/>
      <c r="AA7" s="78"/>
      <c r="AB7" s="79"/>
    </row>
    <row r="8" spans="1:30" ht="12.75" thickBot="1" x14ac:dyDescent="0.25">
      <c r="C8" s="86" t="s">
        <v>89</v>
      </c>
      <c r="E8" s="86" t="s">
        <v>90</v>
      </c>
      <c r="G8" s="86" t="s">
        <v>89</v>
      </c>
      <c r="I8" s="86" t="s">
        <v>90</v>
      </c>
      <c r="J8" s="76"/>
      <c r="K8" s="113" t="s">
        <v>91</v>
      </c>
      <c r="L8" s="76"/>
      <c r="M8" s="87" t="s">
        <v>92</v>
      </c>
      <c r="N8" s="112"/>
      <c r="O8" s="113" t="s">
        <v>91</v>
      </c>
      <c r="P8" s="76"/>
      <c r="Q8" s="87" t="s">
        <v>92</v>
      </c>
      <c r="R8" s="77"/>
      <c r="S8" s="113" t="s">
        <v>91</v>
      </c>
      <c r="T8" s="77"/>
      <c r="U8" s="88" t="s">
        <v>90</v>
      </c>
      <c r="V8" s="77"/>
      <c r="W8" s="114" t="s">
        <v>93</v>
      </c>
      <c r="X8" s="77"/>
      <c r="Y8" s="114" t="s">
        <v>94</v>
      </c>
      <c r="Z8" s="77"/>
      <c r="AA8" s="89" t="s">
        <v>95</v>
      </c>
      <c r="AB8" s="79"/>
    </row>
    <row r="9" spans="1:30" ht="12.75" hidden="1" thickTop="1" x14ac:dyDescent="0.2">
      <c r="C9" s="103"/>
      <c r="E9" s="103"/>
      <c r="G9" s="103"/>
      <c r="I9" s="103"/>
      <c r="J9" s="76"/>
      <c r="K9" s="99"/>
      <c r="L9" s="76"/>
      <c r="M9" s="112"/>
      <c r="N9" s="112"/>
      <c r="O9" s="112"/>
      <c r="P9" s="112"/>
      <c r="Q9" s="77"/>
      <c r="R9" s="77"/>
      <c r="S9" s="104"/>
      <c r="T9" s="77"/>
      <c r="U9" s="83"/>
      <c r="V9" s="77"/>
      <c r="W9" s="83"/>
      <c r="X9" s="77"/>
      <c r="Y9" s="83"/>
      <c r="Z9" s="77"/>
      <c r="AA9" s="105"/>
      <c r="AB9" s="79"/>
    </row>
    <row r="10" spans="1:30" ht="12.75" thickTop="1" x14ac:dyDescent="0.2">
      <c r="A10" s="40" t="s">
        <v>112</v>
      </c>
      <c r="C10" s="103">
        <v>7500</v>
      </c>
      <c r="E10" s="106">
        <v>8</v>
      </c>
      <c r="G10" s="103">
        <v>68997</v>
      </c>
      <c r="I10" s="106">
        <v>69</v>
      </c>
      <c r="J10" s="76"/>
      <c r="K10" s="103">
        <v>1</v>
      </c>
      <c r="L10" s="76"/>
      <c r="M10" s="106">
        <v>1</v>
      </c>
      <c r="N10" s="112"/>
      <c r="O10" s="103">
        <v>0</v>
      </c>
      <c r="P10" s="112"/>
      <c r="Q10" s="106">
        <v>0</v>
      </c>
      <c r="R10" s="77"/>
      <c r="S10" s="103">
        <v>65374031</v>
      </c>
      <c r="T10" s="77"/>
      <c r="U10" s="106">
        <v>65374</v>
      </c>
      <c r="V10" s="107"/>
      <c r="W10" s="106">
        <v>4282629</v>
      </c>
      <c r="X10" s="107"/>
      <c r="Y10" s="106">
        <v>-7977367</v>
      </c>
      <c r="Z10" s="77"/>
      <c r="AA10" s="106">
        <v>-3629285</v>
      </c>
      <c r="AB10" s="79"/>
      <c r="AC10" s="50"/>
    </row>
    <row r="11" spans="1:30" x14ac:dyDescent="0.2">
      <c r="C11" s="103"/>
      <c r="E11" s="103"/>
      <c r="G11" s="103"/>
      <c r="I11" s="103"/>
      <c r="J11" s="76"/>
      <c r="K11" s="99"/>
      <c r="L11" s="76"/>
      <c r="M11" s="112"/>
      <c r="N11" s="112"/>
      <c r="O11" s="112"/>
      <c r="P11" s="112"/>
      <c r="Q11" s="77"/>
      <c r="R11" s="77"/>
      <c r="S11" s="104"/>
      <c r="T11" s="77"/>
      <c r="U11" s="83"/>
      <c r="V11" s="77"/>
      <c r="W11" s="83"/>
      <c r="X11" s="77"/>
      <c r="Y11" s="83"/>
      <c r="Z11" s="77"/>
      <c r="AA11" s="105"/>
      <c r="AB11" s="79"/>
    </row>
    <row r="12" spans="1:30" x14ac:dyDescent="0.2">
      <c r="A12" s="40" t="s">
        <v>98</v>
      </c>
      <c r="C12" s="103">
        <v>0</v>
      </c>
      <c r="E12" s="106">
        <v>0</v>
      </c>
      <c r="G12" s="103">
        <v>-18000</v>
      </c>
      <c r="I12" s="103">
        <v>-18</v>
      </c>
      <c r="J12" s="76"/>
      <c r="K12" s="103">
        <v>0</v>
      </c>
      <c r="L12" s="76"/>
      <c r="M12" s="106">
        <v>0</v>
      </c>
      <c r="N12" s="112"/>
      <c r="O12" s="103">
        <v>0</v>
      </c>
      <c r="P12" s="112"/>
      <c r="Q12" s="106">
        <v>0</v>
      </c>
      <c r="R12" s="77"/>
      <c r="S12" s="103">
        <v>3600000</v>
      </c>
      <c r="T12" s="77"/>
      <c r="U12" s="106">
        <v>3600</v>
      </c>
      <c r="V12" s="107"/>
      <c r="W12" s="106">
        <v>-3582</v>
      </c>
      <c r="X12" s="107"/>
      <c r="Y12" s="106"/>
      <c r="Z12" s="77"/>
      <c r="AA12" s="106">
        <f t="shared" ref="AA12:AA13" si="0">Y12+W12+U12+Q12+M12+I12+E12</f>
        <v>0</v>
      </c>
      <c r="AB12" s="79"/>
      <c r="AC12" s="50"/>
    </row>
    <row r="13" spans="1:30" ht="12.75" thickBot="1" x14ac:dyDescent="0.25">
      <c r="A13" s="80" t="s">
        <v>114</v>
      </c>
      <c r="B13" s="90"/>
      <c r="C13" s="94">
        <v>0</v>
      </c>
      <c r="D13" s="95"/>
      <c r="E13" s="94">
        <v>0</v>
      </c>
      <c r="F13" s="95"/>
      <c r="G13" s="94">
        <v>0</v>
      </c>
      <c r="H13" s="95"/>
      <c r="I13" s="94">
        <v>0</v>
      </c>
      <c r="J13" s="76"/>
      <c r="K13" s="94">
        <v>0</v>
      </c>
      <c r="L13" s="76"/>
      <c r="M13" s="94">
        <v>0</v>
      </c>
      <c r="N13" s="90"/>
      <c r="O13" s="94">
        <v>0</v>
      </c>
      <c r="P13" s="90"/>
      <c r="Q13" s="94">
        <v>0</v>
      </c>
      <c r="R13" s="96"/>
      <c r="S13" s="94">
        <v>0</v>
      </c>
      <c r="T13" s="96"/>
      <c r="U13" s="94">
        <v>0</v>
      </c>
      <c r="V13" s="96"/>
      <c r="W13" s="94">
        <v>0</v>
      </c>
      <c r="X13" s="96"/>
      <c r="Y13" s="115">
        <v>131167</v>
      </c>
      <c r="Z13" s="96"/>
      <c r="AA13" s="115">
        <f t="shared" si="0"/>
        <v>131167</v>
      </c>
      <c r="AB13" s="79"/>
    </row>
    <row r="14" spans="1:30" ht="12.75" thickTop="1" x14ac:dyDescent="0.2">
      <c r="C14" s="76"/>
      <c r="E14" s="76"/>
      <c r="G14" s="76"/>
      <c r="I14" s="76"/>
      <c r="J14" s="76"/>
      <c r="K14" s="76"/>
      <c r="L14" s="76"/>
      <c r="Q14" s="77"/>
      <c r="R14" s="77"/>
      <c r="S14" s="91"/>
      <c r="T14" s="77"/>
      <c r="U14" s="92"/>
      <c r="V14" s="77"/>
      <c r="W14" s="92"/>
      <c r="X14" s="77"/>
      <c r="Y14" s="92"/>
      <c r="Z14" s="77"/>
      <c r="AA14" s="93"/>
      <c r="AB14" s="79"/>
    </row>
    <row r="15" spans="1:30" x14ac:dyDescent="0.2">
      <c r="A15" s="40" t="s">
        <v>113</v>
      </c>
      <c r="B15" s="40"/>
      <c r="C15" s="166">
        <f>SUM(C10:C14)</f>
        <v>7500</v>
      </c>
      <c r="D15" s="153"/>
      <c r="E15" s="116">
        <f>SUM(E10:E14)</f>
        <v>8</v>
      </c>
      <c r="F15" s="153"/>
      <c r="G15" s="166">
        <f>SUM(G10:G14)</f>
        <v>50997</v>
      </c>
      <c r="H15" s="153"/>
      <c r="I15" s="116">
        <f>SUM(I10:I14)</f>
        <v>51</v>
      </c>
      <c r="J15" s="166"/>
      <c r="K15" s="166">
        <f>SUM(K10:K14)</f>
        <v>1</v>
      </c>
      <c r="L15" s="166"/>
      <c r="M15" s="116">
        <f>SUM(M10:M14)</f>
        <v>1</v>
      </c>
      <c r="N15" s="167" t="s">
        <v>96</v>
      </c>
      <c r="O15" s="166">
        <f>SUM(O10:O14)</f>
        <v>0</v>
      </c>
      <c r="P15" s="167"/>
      <c r="Q15" s="116">
        <f>SUM(Q10:Q14)</f>
        <v>0</v>
      </c>
      <c r="R15" s="123"/>
      <c r="S15" s="166">
        <f>SUM(S10:S14)</f>
        <v>68974031</v>
      </c>
      <c r="T15" s="123"/>
      <c r="U15" s="116">
        <f>SUM(U10:U14)</f>
        <v>68974</v>
      </c>
      <c r="V15" s="123"/>
      <c r="W15" s="116">
        <f>SUM(W10:W14)</f>
        <v>4279047</v>
      </c>
      <c r="X15" s="123"/>
      <c r="Y15" s="116">
        <f>SUM(Y10:Y14)</f>
        <v>-7846200</v>
      </c>
      <c r="Z15" s="123"/>
      <c r="AA15" s="116">
        <f>SUM(AA10:AA14)-1</f>
        <v>-3498119</v>
      </c>
      <c r="AB15" s="79"/>
      <c r="AC15" s="98"/>
      <c r="AD15" s="50"/>
    </row>
    <row r="16" spans="1:30" s="125" customFormat="1" x14ac:dyDescent="0.2">
      <c r="A16" s="126"/>
      <c r="B16" s="126"/>
      <c r="C16" s="144"/>
      <c r="D16" s="126"/>
      <c r="E16" s="116"/>
      <c r="F16" s="126"/>
      <c r="G16" s="144"/>
      <c r="H16" s="126"/>
      <c r="I16" s="116"/>
      <c r="J16" s="129"/>
      <c r="K16" s="144"/>
      <c r="L16" s="129"/>
      <c r="M16" s="116"/>
      <c r="N16" s="139"/>
      <c r="O16" s="144"/>
      <c r="P16" s="139"/>
      <c r="Q16" s="116"/>
      <c r="R16" s="131"/>
      <c r="S16" s="144"/>
      <c r="T16" s="131"/>
      <c r="U16" s="116"/>
      <c r="V16" s="131"/>
      <c r="W16" s="116"/>
      <c r="X16" s="131"/>
      <c r="Y16" s="116"/>
      <c r="Z16" s="131"/>
      <c r="AA16" s="116"/>
      <c r="AB16" s="132"/>
      <c r="AC16" s="141"/>
      <c r="AD16" s="128"/>
    </row>
    <row r="17" spans="1:34" s="125" customFormat="1" x14ac:dyDescent="0.2">
      <c r="A17" s="126" t="s">
        <v>98</v>
      </c>
      <c r="B17" s="126"/>
      <c r="C17" s="144"/>
      <c r="D17" s="126"/>
      <c r="E17" s="116"/>
      <c r="F17" s="126"/>
      <c r="G17" s="144">
        <v>-29881</v>
      </c>
      <c r="H17" s="126"/>
      <c r="I17" s="116">
        <v>-29.88</v>
      </c>
      <c r="J17" s="129"/>
      <c r="K17" s="144"/>
      <c r="L17" s="129"/>
      <c r="M17" s="116"/>
      <c r="N17" s="139"/>
      <c r="O17" s="144"/>
      <c r="P17" s="139"/>
      <c r="Q17" s="116"/>
      <c r="R17" s="131"/>
      <c r="S17" s="144">
        <v>5976200</v>
      </c>
      <c r="T17" s="131"/>
      <c r="U17" s="116">
        <v>5976</v>
      </c>
      <c r="V17" s="131"/>
      <c r="W17" s="116">
        <v>-5946.32</v>
      </c>
      <c r="X17" s="131"/>
      <c r="Y17" s="116"/>
      <c r="Z17" s="131"/>
      <c r="AA17" s="142">
        <f>Y17+W17+U17+Q17+M17+I17+E17</f>
        <v>-0.19999999999970797</v>
      </c>
      <c r="AB17" s="132"/>
      <c r="AC17" s="141"/>
      <c r="AD17" s="128"/>
    </row>
    <row r="18" spans="1:34" s="125" customFormat="1" x14ac:dyDescent="0.2">
      <c r="A18" s="145" t="s">
        <v>118</v>
      </c>
      <c r="B18" s="126"/>
      <c r="C18" s="147">
        <v>0</v>
      </c>
      <c r="D18" s="148"/>
      <c r="E18" s="147">
        <v>0</v>
      </c>
      <c r="F18" s="148"/>
      <c r="G18" s="147">
        <v>0</v>
      </c>
      <c r="H18" s="148"/>
      <c r="I18" s="147">
        <v>0</v>
      </c>
      <c r="J18" s="147"/>
      <c r="K18" s="147">
        <v>0</v>
      </c>
      <c r="L18" s="147"/>
      <c r="M18" s="147">
        <v>0</v>
      </c>
      <c r="N18" s="149"/>
      <c r="O18" s="147">
        <v>0</v>
      </c>
      <c r="P18" s="149"/>
      <c r="Q18" s="147">
        <v>0</v>
      </c>
      <c r="R18" s="131"/>
      <c r="S18" s="144">
        <v>1257476</v>
      </c>
      <c r="T18" s="131"/>
      <c r="U18" s="116">
        <v>1257.48</v>
      </c>
      <c r="V18" s="131"/>
      <c r="W18" s="116">
        <v>15982.52</v>
      </c>
      <c r="X18" s="131"/>
      <c r="Y18" s="116"/>
      <c r="Z18" s="131"/>
      <c r="AA18" s="146">
        <f t="shared" ref="AA18:AA19" si="1">Y18+W18+U18+Q18+M18+I18+E18</f>
        <v>17240</v>
      </c>
      <c r="AB18" s="132"/>
      <c r="AC18" s="141"/>
      <c r="AD18" s="128"/>
    </row>
    <row r="19" spans="1:34" s="150" customFormat="1" ht="12.75" thickBot="1" x14ac:dyDescent="0.25">
      <c r="A19" s="158" t="s">
        <v>103</v>
      </c>
      <c r="B19" s="159"/>
      <c r="C19" s="163"/>
      <c r="D19" s="164"/>
      <c r="E19" s="163"/>
      <c r="F19" s="164"/>
      <c r="G19" s="163"/>
      <c r="H19" s="164"/>
      <c r="I19" s="163"/>
      <c r="J19" s="155"/>
      <c r="K19" s="163"/>
      <c r="L19" s="155"/>
      <c r="M19" s="163"/>
      <c r="N19" s="159"/>
      <c r="O19" s="163"/>
      <c r="P19" s="159"/>
      <c r="Q19" s="163"/>
      <c r="R19" s="165"/>
      <c r="S19" s="163"/>
      <c r="T19" s="165"/>
      <c r="U19" s="163"/>
      <c r="V19" s="165"/>
      <c r="W19" s="163"/>
      <c r="X19" s="165"/>
      <c r="Y19" s="115">
        <v>-3442183.42</v>
      </c>
      <c r="Z19" s="165"/>
      <c r="AA19" s="115">
        <f t="shared" si="1"/>
        <v>-3442183.42</v>
      </c>
      <c r="AB19" s="157"/>
    </row>
    <row r="20" spans="1:34" s="172" customFormat="1" ht="12.75" thickTop="1" x14ac:dyDescent="0.2">
      <c r="A20" s="190" t="s">
        <v>126</v>
      </c>
      <c r="B20" s="190"/>
      <c r="C20" s="208">
        <f>SUM(C15:C19)</f>
        <v>7500</v>
      </c>
      <c r="D20" s="208">
        <f t="shared" ref="D20:Z20" si="2">SUM(D15:D19)</f>
        <v>0</v>
      </c>
      <c r="E20" s="208">
        <f t="shared" si="2"/>
        <v>8</v>
      </c>
      <c r="F20" s="208">
        <f t="shared" si="2"/>
        <v>0</v>
      </c>
      <c r="G20" s="208">
        <f t="shared" si="2"/>
        <v>21116</v>
      </c>
      <c r="H20" s="208">
        <f t="shared" si="2"/>
        <v>0</v>
      </c>
      <c r="I20" s="208">
        <f t="shared" si="2"/>
        <v>21.12</v>
      </c>
      <c r="J20" s="208">
        <f t="shared" si="2"/>
        <v>0</v>
      </c>
      <c r="K20" s="208">
        <f t="shared" si="2"/>
        <v>1</v>
      </c>
      <c r="L20" s="208">
        <f t="shared" si="2"/>
        <v>0</v>
      </c>
      <c r="M20" s="208">
        <f t="shared" si="2"/>
        <v>1</v>
      </c>
      <c r="N20" s="208">
        <f t="shared" si="2"/>
        <v>0</v>
      </c>
      <c r="O20" s="208">
        <f t="shared" si="2"/>
        <v>0</v>
      </c>
      <c r="P20" s="208">
        <f t="shared" si="2"/>
        <v>0</v>
      </c>
      <c r="Q20" s="208">
        <f t="shared" si="2"/>
        <v>0</v>
      </c>
      <c r="R20" s="208">
        <f t="shared" si="2"/>
        <v>0</v>
      </c>
      <c r="S20" s="208">
        <f t="shared" si="2"/>
        <v>76207707</v>
      </c>
      <c r="T20" s="208">
        <f t="shared" si="2"/>
        <v>0</v>
      </c>
      <c r="U20" s="208">
        <f t="shared" si="2"/>
        <v>76207.48</v>
      </c>
      <c r="V20" s="208">
        <f t="shared" si="2"/>
        <v>0</v>
      </c>
      <c r="W20" s="208">
        <f t="shared" si="2"/>
        <v>4289083.1999999993</v>
      </c>
      <c r="X20" s="208">
        <f t="shared" si="2"/>
        <v>0</v>
      </c>
      <c r="Y20" s="208">
        <f t="shared" si="2"/>
        <v>-11288383.42</v>
      </c>
      <c r="Z20" s="208">
        <f t="shared" si="2"/>
        <v>0</v>
      </c>
      <c r="AA20" s="208">
        <f>SUM(AA15:AA19)+1</f>
        <v>-6923061.6200000001</v>
      </c>
      <c r="AB20" s="170"/>
      <c r="AC20" s="169"/>
      <c r="AD20" s="188"/>
      <c r="AE20" s="188"/>
      <c r="AF20" s="188"/>
      <c r="AG20" s="188"/>
      <c r="AH20" s="188"/>
    </row>
    <row r="21" spans="1:34" s="172" customFormat="1" ht="15" x14ac:dyDescent="0.25">
      <c r="A21" s="171"/>
      <c r="B21" s="171"/>
      <c r="C21" s="208"/>
      <c r="D21" s="171"/>
      <c r="E21" s="116"/>
      <c r="F21" s="171"/>
      <c r="G21" s="208"/>
      <c r="H21" s="171"/>
      <c r="I21" s="116"/>
      <c r="J21" s="208"/>
      <c r="K21" s="208"/>
      <c r="L21" s="208"/>
      <c r="M21" s="116"/>
      <c r="N21" s="210"/>
      <c r="O21" s="208"/>
      <c r="P21" s="210"/>
      <c r="Q21" s="116"/>
      <c r="R21" s="212"/>
      <c r="S21" s="208"/>
      <c r="T21" s="212"/>
      <c r="U21" s="116"/>
      <c r="V21" s="212"/>
      <c r="W21" s="116"/>
      <c r="X21" s="212"/>
      <c r="Y21" s="116"/>
      <c r="Z21" s="212"/>
      <c r="AA21" s="116"/>
      <c r="AB21" s="170"/>
      <c r="AC21" s="169"/>
      <c r="AD21" s="188"/>
      <c r="AE21" s="188"/>
      <c r="AF21" s="188"/>
      <c r="AG21" s="188"/>
      <c r="AH21" s="188"/>
    </row>
    <row r="22" spans="1:34" s="188" customFormat="1" ht="15" x14ac:dyDescent="0.25">
      <c r="A22" s="188" t="s">
        <v>118</v>
      </c>
      <c r="B22" s="186"/>
      <c r="C22" s="208"/>
      <c r="D22" s="189"/>
      <c r="E22" s="116"/>
      <c r="F22" s="189"/>
      <c r="G22" s="208">
        <v>-2500</v>
      </c>
      <c r="H22" s="189"/>
      <c r="I22" s="116">
        <v>-2.5</v>
      </c>
      <c r="J22" s="192"/>
      <c r="K22" s="208"/>
      <c r="L22" s="192"/>
      <c r="M22" s="116"/>
      <c r="N22" s="202"/>
      <c r="O22" s="208"/>
      <c r="P22" s="202"/>
      <c r="Q22" s="116"/>
      <c r="R22" s="194"/>
      <c r="S22" s="208">
        <v>500000</v>
      </c>
      <c r="T22" s="194"/>
      <c r="U22" s="116">
        <v>500</v>
      </c>
      <c r="V22" s="194"/>
      <c r="W22" s="116">
        <v>-497.5</v>
      </c>
      <c r="X22" s="194"/>
      <c r="Y22" s="116"/>
      <c r="Z22" s="194"/>
      <c r="AA22" s="207">
        <f>Y22+W22+U22+Q22+M22+I22+E22</f>
        <v>0</v>
      </c>
      <c r="AB22" s="195"/>
      <c r="AC22" s="206"/>
    </row>
    <row r="23" spans="1:34" s="188" customFormat="1" ht="15" x14ac:dyDescent="0.25">
      <c r="A23" s="188" t="s">
        <v>123</v>
      </c>
      <c r="B23" s="186"/>
      <c r="C23" s="208"/>
      <c r="D23" s="189"/>
      <c r="E23" s="116"/>
      <c r="F23" s="189"/>
      <c r="G23" s="208"/>
      <c r="H23" s="189"/>
      <c r="I23" s="116"/>
      <c r="J23" s="192"/>
      <c r="K23" s="208"/>
      <c r="L23" s="192"/>
      <c r="M23" s="116"/>
      <c r="N23" s="202"/>
      <c r="O23" s="208"/>
      <c r="P23" s="202"/>
      <c r="Q23" s="116"/>
      <c r="R23" s="194"/>
      <c r="S23" s="208">
        <v>5085000</v>
      </c>
      <c r="T23" s="194"/>
      <c r="U23" s="116">
        <v>132066.54999999999</v>
      </c>
      <c r="V23" s="194"/>
      <c r="W23" s="116">
        <v>183.45</v>
      </c>
      <c r="X23" s="194"/>
      <c r="Y23" s="116"/>
      <c r="Z23" s="194"/>
      <c r="AA23" s="207">
        <f>Y23+W23+U23+Q23+M23+I23+E23</f>
        <v>132250</v>
      </c>
      <c r="AB23" s="195"/>
      <c r="AC23" s="206"/>
    </row>
    <row r="24" spans="1:34" s="188" customFormat="1" ht="12.75" thickBot="1" x14ac:dyDescent="0.25">
      <c r="A24" s="196" t="s">
        <v>103</v>
      </c>
      <c r="B24" s="197"/>
      <c r="C24" s="201"/>
      <c r="D24" s="202"/>
      <c r="E24" s="201"/>
      <c r="F24" s="202"/>
      <c r="G24" s="201"/>
      <c r="H24" s="202"/>
      <c r="I24" s="201"/>
      <c r="J24" s="192"/>
      <c r="K24" s="201"/>
      <c r="L24" s="192"/>
      <c r="M24" s="201"/>
      <c r="N24" s="197"/>
      <c r="O24" s="201"/>
      <c r="P24" s="197"/>
      <c r="Q24" s="201"/>
      <c r="R24" s="203"/>
      <c r="S24" s="201"/>
      <c r="T24" s="203"/>
      <c r="U24" s="201"/>
      <c r="V24" s="203"/>
      <c r="W24" s="201"/>
      <c r="X24" s="203"/>
      <c r="Y24" s="201">
        <v>-12325187</v>
      </c>
      <c r="Z24" s="203"/>
      <c r="AA24" s="201">
        <f>Y24+W24+U24+Q24+M24+I24+E24</f>
        <v>-12325187</v>
      </c>
      <c r="AB24" s="195"/>
      <c r="AC24" s="206"/>
    </row>
    <row r="25" spans="1:34" s="188" customFormat="1" ht="15.75" thickTop="1" x14ac:dyDescent="0.25">
      <c r="A25" s="186"/>
      <c r="B25" s="186"/>
      <c r="C25" s="192"/>
      <c r="D25" s="186"/>
      <c r="E25" s="192"/>
      <c r="F25" s="186"/>
      <c r="G25" s="192"/>
      <c r="H25" s="186"/>
      <c r="I25" s="192"/>
      <c r="J25" s="192"/>
      <c r="K25" s="192"/>
      <c r="L25" s="192"/>
      <c r="M25" s="186"/>
      <c r="N25" s="186"/>
      <c r="O25" s="186"/>
      <c r="P25" s="186"/>
      <c r="Q25" s="193"/>
      <c r="R25" s="193"/>
      <c r="S25" s="198"/>
      <c r="T25" s="193"/>
      <c r="U25" s="199"/>
      <c r="V25" s="193"/>
      <c r="W25" s="199"/>
      <c r="X25" s="193"/>
      <c r="Y25" s="199"/>
      <c r="Z25" s="193"/>
      <c r="AA25" s="200"/>
      <c r="AB25" s="195"/>
      <c r="AC25" s="206"/>
    </row>
    <row r="26" spans="1:34" s="188" customFormat="1" ht="15.75" thickBot="1" x14ac:dyDescent="0.3">
      <c r="A26" s="189" t="s">
        <v>127</v>
      </c>
      <c r="B26" s="189"/>
      <c r="C26" s="204">
        <f>SUM(C20:C24)</f>
        <v>7500</v>
      </c>
      <c r="D26" s="186">
        <f t="shared" ref="D26:AA26" si="3">SUM(D20:D24)</f>
        <v>0</v>
      </c>
      <c r="E26" s="205">
        <f t="shared" si="3"/>
        <v>8</v>
      </c>
      <c r="F26" s="186">
        <f t="shared" si="3"/>
        <v>0</v>
      </c>
      <c r="G26" s="204">
        <f t="shared" si="3"/>
        <v>18616</v>
      </c>
      <c r="H26" s="186">
        <f t="shared" si="3"/>
        <v>0</v>
      </c>
      <c r="I26" s="205">
        <f t="shared" si="3"/>
        <v>18.62</v>
      </c>
      <c r="J26" s="192">
        <f t="shared" si="3"/>
        <v>0</v>
      </c>
      <c r="K26" s="204">
        <f t="shared" si="3"/>
        <v>1</v>
      </c>
      <c r="L26" s="192">
        <f t="shared" si="3"/>
        <v>0</v>
      </c>
      <c r="M26" s="205">
        <f t="shared" si="3"/>
        <v>1</v>
      </c>
      <c r="N26" s="202">
        <f t="shared" si="3"/>
        <v>0</v>
      </c>
      <c r="O26" s="204">
        <f t="shared" si="3"/>
        <v>0</v>
      </c>
      <c r="P26" s="202">
        <f t="shared" si="3"/>
        <v>0</v>
      </c>
      <c r="Q26" s="205">
        <f t="shared" si="3"/>
        <v>0</v>
      </c>
      <c r="R26" s="194">
        <f t="shared" si="3"/>
        <v>0</v>
      </c>
      <c r="S26" s="204">
        <f t="shared" si="3"/>
        <v>81792707</v>
      </c>
      <c r="T26" s="194">
        <f t="shared" si="3"/>
        <v>0</v>
      </c>
      <c r="U26" s="205">
        <f t="shared" si="3"/>
        <v>208774.02999999997</v>
      </c>
      <c r="V26" s="194">
        <f t="shared" si="3"/>
        <v>0</v>
      </c>
      <c r="W26" s="205">
        <f t="shared" si="3"/>
        <v>4288769.1499999994</v>
      </c>
      <c r="X26" s="194">
        <f t="shared" si="3"/>
        <v>0</v>
      </c>
      <c r="Y26" s="205">
        <f t="shared" si="3"/>
        <v>-23613570.420000002</v>
      </c>
      <c r="Z26" s="194">
        <f t="shared" si="3"/>
        <v>0</v>
      </c>
      <c r="AA26" s="205">
        <f t="shared" si="3"/>
        <v>-19115998.620000001</v>
      </c>
      <c r="AB26" s="195"/>
      <c r="AC26" s="206"/>
    </row>
    <row r="27" spans="1:34" s="188" customFormat="1" ht="15.75" thickTop="1" x14ac:dyDescent="0.25">
      <c r="A27" s="186"/>
      <c r="B27" s="186"/>
      <c r="C27" s="192"/>
      <c r="D27" s="186"/>
      <c r="E27" s="192"/>
      <c r="F27" s="186"/>
      <c r="G27" s="192"/>
      <c r="H27" s="186"/>
      <c r="I27" s="192"/>
      <c r="J27" s="192"/>
      <c r="K27" s="192"/>
      <c r="L27" s="192"/>
      <c r="M27" s="186"/>
      <c r="N27" s="186"/>
      <c r="O27" s="186"/>
      <c r="P27" s="186"/>
      <c r="Q27" s="193"/>
      <c r="R27" s="193"/>
      <c r="S27" s="198"/>
      <c r="T27" s="193"/>
      <c r="U27" s="199"/>
      <c r="V27" s="193"/>
      <c r="W27" s="199"/>
      <c r="X27" s="193"/>
      <c r="Y27" s="199"/>
      <c r="Z27" s="193"/>
      <c r="AA27" s="200"/>
      <c r="AB27" s="195"/>
      <c r="AC27" s="206"/>
    </row>
    <row r="28" spans="1:34" s="150" customFormat="1" x14ac:dyDescent="0.2">
      <c r="C28" s="155"/>
      <c r="D28" s="152"/>
      <c r="E28" s="155"/>
      <c r="F28" s="152"/>
      <c r="G28" s="155"/>
      <c r="H28" s="152"/>
      <c r="I28" s="155"/>
      <c r="J28" s="155"/>
      <c r="K28" s="155"/>
      <c r="L28" s="155"/>
      <c r="Q28" s="156"/>
      <c r="R28" s="156"/>
      <c r="S28" s="160"/>
      <c r="T28" s="156"/>
      <c r="U28" s="161"/>
      <c r="V28" s="156"/>
      <c r="W28" s="161"/>
      <c r="X28" s="156"/>
      <c r="Y28" s="161"/>
      <c r="Z28" s="156"/>
      <c r="AA28" s="162"/>
      <c r="AB28" s="157"/>
    </row>
    <row r="29" spans="1:34" s="188" customFormat="1" x14ac:dyDescent="0.2">
      <c r="A29" s="235" t="s">
        <v>97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</row>
    <row r="30" spans="1:34" s="188" customFormat="1" x14ac:dyDescent="0.2">
      <c r="C30" s="192"/>
      <c r="D30" s="189"/>
      <c r="E30" s="192"/>
      <c r="F30" s="189"/>
      <c r="G30" s="192"/>
      <c r="H30" s="189"/>
      <c r="I30" s="192"/>
      <c r="J30" s="192"/>
      <c r="K30" s="192"/>
      <c r="L30" s="192"/>
      <c r="Q30" s="193"/>
      <c r="R30" s="193"/>
      <c r="S30" s="198"/>
      <c r="T30" s="193"/>
      <c r="U30" s="199"/>
      <c r="V30" s="193"/>
      <c r="W30" s="199"/>
      <c r="X30" s="193"/>
      <c r="Y30" s="199"/>
      <c r="Z30" s="193"/>
      <c r="AA30" s="200"/>
      <c r="AB30" s="195"/>
    </row>
    <row r="31" spans="1:34" x14ac:dyDescent="0.2">
      <c r="W31" s="97"/>
    </row>
    <row r="32" spans="1:34" x14ac:dyDescent="0.2">
      <c r="A32" s="235"/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</row>
  </sheetData>
  <mergeCells count="8">
    <mergeCell ref="A32:AA32"/>
    <mergeCell ref="C6:Q6"/>
    <mergeCell ref="S6:U6"/>
    <mergeCell ref="C7:E7"/>
    <mergeCell ref="G7:I7"/>
    <mergeCell ref="K7:M7"/>
    <mergeCell ref="O7:Q7"/>
    <mergeCell ref="A29:A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8D351-705D-4741-80B4-46188F76B5A6}">
  <dimension ref="A1:AH27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40" sqref="O40"/>
    </sheetView>
  </sheetViews>
  <sheetFormatPr defaultColWidth="9.140625" defaultRowHeight="12" x14ac:dyDescent="0.2"/>
  <cols>
    <col min="1" max="1" width="47" style="36" bestFit="1" customWidth="1"/>
    <col min="2" max="2" width="0" style="36" hidden="1" customWidth="1"/>
    <col min="3" max="3" width="9.28515625" style="40" bestFit="1" customWidth="1"/>
    <col min="4" max="4" width="3.28515625" style="40" hidden="1" customWidth="1"/>
    <col min="5" max="5" width="9.28515625" style="40" bestFit="1" customWidth="1"/>
    <col min="6" max="6" width="3.140625" style="40" hidden="1" customWidth="1"/>
    <col min="7" max="7" width="10" style="40" bestFit="1" customWidth="1"/>
    <col min="8" max="8" width="3" style="40" hidden="1" customWidth="1"/>
    <col min="9" max="9" width="9.140625" style="40"/>
    <col min="10" max="10" width="2.5703125" style="40" hidden="1" customWidth="1"/>
    <col min="11" max="11" width="9.140625" style="40"/>
    <col min="12" max="12" width="2" style="40" hidden="1" customWidth="1"/>
    <col min="13" max="13" width="9.140625" style="36"/>
    <col min="14" max="14" width="3.42578125" style="36" hidden="1" customWidth="1"/>
    <col min="15" max="15" width="9.140625" style="36"/>
    <col min="16" max="16" width="2.140625" style="36" hidden="1" customWidth="1"/>
    <col min="17" max="17" width="9.140625" style="36"/>
    <col min="18" max="18" width="1.85546875" style="36" customWidth="1"/>
    <col min="19" max="19" width="12.140625" style="48" bestFit="1" customWidth="1"/>
    <col min="20" max="20" width="2.5703125" style="36" hidden="1" customWidth="1"/>
    <col min="21" max="21" width="11" style="36" bestFit="1" customWidth="1"/>
    <col min="22" max="22" width="3.42578125" style="36" hidden="1" customWidth="1"/>
    <col min="23" max="23" width="13.7109375" style="36" bestFit="1" customWidth="1"/>
    <col min="24" max="24" width="3.140625" style="36" hidden="1" customWidth="1"/>
    <col min="25" max="25" width="12.5703125" style="36" customWidth="1"/>
    <col min="26" max="26" width="3.140625" style="36" hidden="1" customWidth="1"/>
    <col min="27" max="27" width="14.140625" style="40" bestFit="1" customWidth="1"/>
    <col min="28" max="28" width="0" style="36" hidden="1" customWidth="1"/>
    <col min="29" max="29" width="13.5703125" style="36" bestFit="1" customWidth="1"/>
    <col min="30" max="30" width="11.5703125" style="36" bestFit="1" customWidth="1"/>
    <col min="31" max="31" width="11" style="36" bestFit="1" customWidth="1"/>
    <col min="32" max="16384" width="9.140625" style="36"/>
  </cols>
  <sheetData>
    <row r="1" spans="1:30" x14ac:dyDescent="0.2">
      <c r="A1" s="75" t="s">
        <v>78</v>
      </c>
      <c r="J1" s="76"/>
      <c r="K1" s="76"/>
      <c r="L1" s="76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  <c r="AB1" s="79"/>
    </row>
    <row r="2" spans="1:30" ht="15" customHeight="1" x14ac:dyDescent="0.2">
      <c r="A2" s="80" t="s">
        <v>79</v>
      </c>
      <c r="B2" s="80"/>
      <c r="C2" s="81"/>
      <c r="D2" s="81"/>
      <c r="E2" s="81"/>
      <c r="J2" s="76"/>
      <c r="K2" s="76"/>
      <c r="L2" s="76"/>
      <c r="Q2" s="77"/>
      <c r="R2" s="77"/>
      <c r="S2" s="77"/>
      <c r="T2" s="77"/>
      <c r="U2" s="77"/>
      <c r="V2" s="77"/>
      <c r="W2" s="77"/>
      <c r="X2" s="77"/>
      <c r="Y2" s="77"/>
      <c r="Z2" s="77"/>
      <c r="AA2" s="78"/>
      <c r="AB2" s="79"/>
    </row>
    <row r="3" spans="1:30" x14ac:dyDescent="0.2">
      <c r="A3" s="80" t="s">
        <v>80</v>
      </c>
      <c r="J3" s="76"/>
      <c r="K3" s="76"/>
      <c r="L3" s="76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79"/>
    </row>
    <row r="4" spans="1:30" x14ac:dyDescent="0.2">
      <c r="J4" s="76"/>
      <c r="K4" s="76"/>
      <c r="L4" s="76"/>
      <c r="Q4" s="77"/>
      <c r="R4" s="77"/>
      <c r="S4" s="77"/>
      <c r="T4" s="77"/>
      <c r="U4" s="77"/>
      <c r="V4" s="77"/>
      <c r="W4" s="77"/>
      <c r="X4" s="77"/>
      <c r="Y4" s="82"/>
      <c r="Z4" s="77"/>
      <c r="AA4" s="78"/>
      <c r="AB4" s="79"/>
    </row>
    <row r="5" spans="1:30" x14ac:dyDescent="0.2">
      <c r="J5" s="76"/>
      <c r="K5" s="76"/>
      <c r="L5" s="76"/>
      <c r="Q5" s="77"/>
      <c r="R5" s="77"/>
      <c r="S5" s="77"/>
      <c r="T5" s="77"/>
      <c r="U5" s="77"/>
      <c r="V5" s="77"/>
      <c r="W5" s="77"/>
      <c r="X5" s="77"/>
      <c r="Y5" s="82"/>
      <c r="Z5" s="77"/>
      <c r="AA5" s="78"/>
      <c r="AB5" s="79"/>
    </row>
    <row r="6" spans="1:30" ht="15.75" customHeight="1" thickBot="1" x14ac:dyDescent="0.25">
      <c r="C6" s="231" t="s">
        <v>81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77"/>
      <c r="S6" s="232" t="s">
        <v>12</v>
      </c>
      <c r="T6" s="232"/>
      <c r="U6" s="232"/>
      <c r="V6" s="77"/>
      <c r="W6" s="83" t="s">
        <v>82</v>
      </c>
      <c r="X6" s="77"/>
      <c r="Y6" s="82"/>
      <c r="Z6" s="77"/>
      <c r="AA6" s="78"/>
      <c r="AB6" s="79"/>
    </row>
    <row r="7" spans="1:30" ht="15.75" customHeight="1" thickTop="1" thickBot="1" x14ac:dyDescent="0.25">
      <c r="C7" s="233" t="s">
        <v>83</v>
      </c>
      <c r="D7" s="233"/>
      <c r="E7" s="233"/>
      <c r="G7" s="233" t="s">
        <v>84</v>
      </c>
      <c r="H7" s="233"/>
      <c r="I7" s="233"/>
      <c r="J7" s="76"/>
      <c r="K7" s="234" t="s">
        <v>85</v>
      </c>
      <c r="L7" s="234"/>
      <c r="M7" s="234"/>
      <c r="N7" s="84"/>
      <c r="O7" s="234" t="s">
        <v>86</v>
      </c>
      <c r="P7" s="234"/>
      <c r="Q7" s="234"/>
      <c r="R7" s="77"/>
      <c r="S7" s="85"/>
      <c r="T7" s="85"/>
      <c r="U7" s="85"/>
      <c r="V7" s="77"/>
      <c r="W7" s="83" t="s">
        <v>87</v>
      </c>
      <c r="X7" s="77"/>
      <c r="Y7" s="83" t="s">
        <v>88</v>
      </c>
      <c r="Z7" s="77"/>
      <c r="AA7" s="78"/>
      <c r="AB7" s="79"/>
    </row>
    <row r="8" spans="1:30" ht="12.75" thickBot="1" x14ac:dyDescent="0.25">
      <c r="C8" s="86" t="s">
        <v>89</v>
      </c>
      <c r="E8" s="86" t="s">
        <v>90</v>
      </c>
      <c r="G8" s="86" t="s">
        <v>89</v>
      </c>
      <c r="I8" s="86" t="s">
        <v>90</v>
      </c>
      <c r="J8" s="76"/>
      <c r="K8" s="109" t="s">
        <v>91</v>
      </c>
      <c r="L8" s="76"/>
      <c r="M8" s="87" t="s">
        <v>92</v>
      </c>
      <c r="N8" s="108"/>
      <c r="O8" s="109" t="s">
        <v>91</v>
      </c>
      <c r="P8" s="76"/>
      <c r="Q8" s="87" t="s">
        <v>92</v>
      </c>
      <c r="R8" s="77"/>
      <c r="S8" s="109" t="s">
        <v>91</v>
      </c>
      <c r="T8" s="77"/>
      <c r="U8" s="88" t="s">
        <v>90</v>
      </c>
      <c r="V8" s="77"/>
      <c r="W8" s="110" t="s">
        <v>93</v>
      </c>
      <c r="X8" s="77"/>
      <c r="Y8" s="110" t="s">
        <v>94</v>
      </c>
      <c r="Z8" s="77"/>
      <c r="AA8" s="89" t="s">
        <v>95</v>
      </c>
      <c r="AB8" s="79"/>
    </row>
    <row r="9" spans="1:30" ht="12.75" hidden="1" thickTop="1" x14ac:dyDescent="0.2">
      <c r="C9" s="103"/>
      <c r="E9" s="103"/>
      <c r="G9" s="103"/>
      <c r="I9" s="103"/>
      <c r="J9" s="76"/>
      <c r="K9" s="99"/>
      <c r="L9" s="76"/>
      <c r="M9" s="108"/>
      <c r="N9" s="108"/>
      <c r="O9" s="108"/>
      <c r="P9" s="108"/>
      <c r="Q9" s="77"/>
      <c r="R9" s="77"/>
      <c r="S9" s="104"/>
      <c r="T9" s="77"/>
      <c r="U9" s="83"/>
      <c r="V9" s="77"/>
      <c r="W9" s="83"/>
      <c r="X9" s="77"/>
      <c r="Y9" s="83"/>
      <c r="Z9" s="77"/>
      <c r="AA9" s="105"/>
      <c r="AB9" s="79"/>
    </row>
    <row r="10" spans="1:30" ht="12.75" thickTop="1" x14ac:dyDescent="0.2">
      <c r="A10" s="40" t="s">
        <v>108</v>
      </c>
      <c r="C10" s="103">
        <v>7500</v>
      </c>
      <c r="E10" s="106">
        <v>8</v>
      </c>
      <c r="G10" s="103">
        <v>68197</v>
      </c>
      <c r="I10" s="106">
        <v>69</v>
      </c>
      <c r="J10" s="76"/>
      <c r="K10" s="103">
        <v>1</v>
      </c>
      <c r="L10" s="76"/>
      <c r="M10" s="106">
        <v>1</v>
      </c>
      <c r="N10" s="108"/>
      <c r="O10" s="103">
        <v>0</v>
      </c>
      <c r="P10" s="108"/>
      <c r="Q10" s="106">
        <v>0</v>
      </c>
      <c r="R10" s="77"/>
      <c r="S10" s="103">
        <v>53988755</v>
      </c>
      <c r="T10" s="77"/>
      <c r="U10" s="106">
        <v>53988</v>
      </c>
      <c r="V10" s="107"/>
      <c r="W10" s="106">
        <v>4210995</v>
      </c>
      <c r="X10" s="107"/>
      <c r="Y10" s="106">
        <v>-7011482</v>
      </c>
      <c r="Z10" s="77"/>
      <c r="AA10" s="106">
        <f>E10+I10+M10+Q10+U10+W10+Y10</f>
        <v>-2746421</v>
      </c>
      <c r="AB10" s="79"/>
    </row>
    <row r="11" spans="1:30" x14ac:dyDescent="0.2">
      <c r="C11" s="103"/>
      <c r="E11" s="103"/>
      <c r="G11" s="103"/>
      <c r="I11" s="103"/>
      <c r="J11" s="76"/>
      <c r="K11" s="99"/>
      <c r="L11" s="76"/>
      <c r="M11" s="108"/>
      <c r="N11" s="108"/>
      <c r="O11" s="108"/>
      <c r="P11" s="108"/>
      <c r="Q11" s="77"/>
      <c r="R11" s="77"/>
      <c r="S11" s="104"/>
      <c r="T11" s="77"/>
      <c r="U11" s="83"/>
      <c r="V11" s="77"/>
      <c r="W11" s="83"/>
      <c r="X11" s="77"/>
      <c r="Y11" s="83"/>
      <c r="Z11" s="77"/>
      <c r="AA11" s="105"/>
      <c r="AB11" s="79"/>
    </row>
    <row r="12" spans="1:30" hidden="1" x14ac:dyDescent="0.2">
      <c r="C12" s="76"/>
      <c r="E12" s="76"/>
      <c r="G12" s="76"/>
      <c r="I12" s="76"/>
      <c r="J12" s="76"/>
      <c r="K12" s="76"/>
      <c r="L12" s="76"/>
      <c r="Q12" s="77"/>
      <c r="R12" s="77"/>
      <c r="S12" s="91"/>
      <c r="T12" s="77"/>
      <c r="U12" s="92"/>
      <c r="V12" s="77"/>
      <c r="W12" s="92"/>
      <c r="X12" s="77"/>
      <c r="Y12" s="92"/>
      <c r="Z12" s="77"/>
      <c r="AA12" s="105">
        <f t="shared" ref="AA12:AA13" si="0">Y12+W12+U12+Q12+M12+I12+E12</f>
        <v>0</v>
      </c>
      <c r="AB12" s="79"/>
    </row>
    <row r="13" spans="1:30" ht="12.75" thickBot="1" x14ac:dyDescent="0.25">
      <c r="A13" s="80" t="s">
        <v>103</v>
      </c>
      <c r="B13" s="90"/>
      <c r="C13" s="94">
        <v>0</v>
      </c>
      <c r="D13" s="95"/>
      <c r="E13" s="94">
        <v>0</v>
      </c>
      <c r="F13" s="95"/>
      <c r="G13" s="94">
        <v>0</v>
      </c>
      <c r="H13" s="95"/>
      <c r="I13" s="94">
        <v>0</v>
      </c>
      <c r="J13" s="76"/>
      <c r="K13" s="94">
        <v>0</v>
      </c>
      <c r="L13" s="76"/>
      <c r="M13" s="94">
        <v>0</v>
      </c>
      <c r="N13" s="90"/>
      <c r="O13" s="94">
        <v>0</v>
      </c>
      <c r="P13" s="90"/>
      <c r="Q13" s="94">
        <v>0</v>
      </c>
      <c r="R13" s="96"/>
      <c r="S13" s="94">
        <v>0</v>
      </c>
      <c r="T13" s="96"/>
      <c r="U13" s="94">
        <v>0</v>
      </c>
      <c r="V13" s="96"/>
      <c r="W13" s="94">
        <v>0</v>
      </c>
      <c r="X13" s="96"/>
      <c r="Y13" s="94">
        <v>-84067</v>
      </c>
      <c r="Z13" s="96"/>
      <c r="AA13" s="94">
        <f t="shared" si="0"/>
        <v>-84067</v>
      </c>
      <c r="AB13" s="79"/>
    </row>
    <row r="14" spans="1:30" ht="12.75" thickTop="1" x14ac:dyDescent="0.2">
      <c r="C14" s="76"/>
      <c r="E14" s="76"/>
      <c r="G14" s="76"/>
      <c r="I14" s="76"/>
      <c r="J14" s="76"/>
      <c r="K14" s="76"/>
      <c r="L14" s="76"/>
      <c r="Q14" s="77"/>
      <c r="R14" s="77"/>
      <c r="S14" s="91"/>
      <c r="T14" s="77"/>
      <c r="U14" s="92"/>
      <c r="V14" s="77"/>
      <c r="W14" s="92"/>
      <c r="X14" s="77"/>
      <c r="Y14" s="92"/>
      <c r="Z14" s="77"/>
      <c r="AA14" s="93"/>
      <c r="AB14" s="79"/>
    </row>
    <row r="15" spans="1:30" x14ac:dyDescent="0.2">
      <c r="A15" s="40" t="s">
        <v>109</v>
      </c>
      <c r="B15" s="40"/>
      <c r="C15" s="144">
        <f>SUM(C10:C14)</f>
        <v>7500</v>
      </c>
      <c r="D15" s="127"/>
      <c r="E15" s="116">
        <f>SUM(E10:E14)</f>
        <v>8</v>
      </c>
      <c r="F15" s="127"/>
      <c r="G15" s="144">
        <f>SUM(G10:G14)</f>
        <v>68197</v>
      </c>
      <c r="H15" s="127"/>
      <c r="I15" s="116">
        <f>SUM(I10:I14)</f>
        <v>69</v>
      </c>
      <c r="J15" s="144"/>
      <c r="K15" s="144">
        <f>SUM(K10:K14)</f>
        <v>1</v>
      </c>
      <c r="L15" s="144"/>
      <c r="M15" s="116">
        <f>SUM(M10:M14)</f>
        <v>1</v>
      </c>
      <c r="N15" s="117" t="s">
        <v>96</v>
      </c>
      <c r="O15" s="144">
        <f>SUM(O10:O14)</f>
        <v>0</v>
      </c>
      <c r="P15" s="117"/>
      <c r="Q15" s="116">
        <f>SUM(Q10:Q14)</f>
        <v>0</v>
      </c>
      <c r="R15" s="123"/>
      <c r="S15" s="144">
        <f>SUM(S10:S14)</f>
        <v>53988755</v>
      </c>
      <c r="T15" s="123"/>
      <c r="U15" s="116">
        <f>SUM(U10:U14)</f>
        <v>53988</v>
      </c>
      <c r="V15" s="123"/>
      <c r="W15" s="116">
        <f>SUM(W10:W14)</f>
        <v>4210995</v>
      </c>
      <c r="X15" s="123"/>
      <c r="Y15" s="116">
        <f>SUM(Y10:Y14)</f>
        <v>-7095549</v>
      </c>
      <c r="Z15" s="123"/>
      <c r="AA15" s="116">
        <f>SUM(AA10:AA14)</f>
        <v>-2830488</v>
      </c>
      <c r="AB15" s="79"/>
      <c r="AC15" s="98"/>
      <c r="AD15" s="50"/>
    </row>
    <row r="16" spans="1:30" s="118" customFormat="1" ht="15" x14ac:dyDescent="0.25">
      <c r="A16" s="124"/>
      <c r="B16" s="124"/>
      <c r="C16" s="129"/>
      <c r="D16" s="124"/>
      <c r="E16" s="143"/>
      <c r="F16" s="124"/>
      <c r="G16" s="129"/>
      <c r="H16" s="124"/>
      <c r="I16" s="143"/>
      <c r="J16" s="129"/>
      <c r="K16" s="129"/>
      <c r="L16" s="129"/>
      <c r="M16" s="143"/>
      <c r="N16" s="134"/>
      <c r="O16" s="129"/>
      <c r="P16" s="134"/>
      <c r="Q16" s="143"/>
      <c r="R16" s="130"/>
      <c r="S16" s="129"/>
      <c r="T16" s="130"/>
      <c r="U16" s="143"/>
      <c r="V16" s="130"/>
      <c r="W16" s="143"/>
      <c r="X16" s="130"/>
      <c r="Y16" s="143"/>
      <c r="Z16" s="130"/>
      <c r="AA16" s="143"/>
      <c r="AB16" s="120"/>
      <c r="AC16" s="121"/>
      <c r="AD16" s="119"/>
    </row>
    <row r="17" spans="1:34" s="118" customFormat="1" ht="12.75" thickBot="1" x14ac:dyDescent="0.25">
      <c r="A17" s="133" t="s">
        <v>103</v>
      </c>
      <c r="B17" s="134"/>
      <c r="C17" s="138">
        <v>0</v>
      </c>
      <c r="D17" s="139"/>
      <c r="E17" s="138">
        <v>0</v>
      </c>
      <c r="F17" s="139"/>
      <c r="G17" s="138">
        <v>0</v>
      </c>
      <c r="H17" s="139"/>
      <c r="I17" s="138">
        <v>0</v>
      </c>
      <c r="J17" s="129"/>
      <c r="K17" s="138">
        <v>0</v>
      </c>
      <c r="L17" s="129"/>
      <c r="M17" s="138">
        <v>0</v>
      </c>
      <c r="N17" s="134"/>
      <c r="O17" s="138">
        <v>0</v>
      </c>
      <c r="P17" s="134"/>
      <c r="Q17" s="138">
        <v>0</v>
      </c>
      <c r="R17" s="140"/>
      <c r="S17" s="138">
        <v>0</v>
      </c>
      <c r="T17" s="140"/>
      <c r="U17" s="138">
        <v>0</v>
      </c>
      <c r="V17" s="140"/>
      <c r="W17" s="138">
        <v>0</v>
      </c>
      <c r="X17" s="140"/>
      <c r="Y17" s="138">
        <v>-554012</v>
      </c>
      <c r="Z17" s="140"/>
      <c r="AA17" s="138">
        <v>-554012</v>
      </c>
      <c r="AB17" s="120"/>
      <c r="AC17" s="121"/>
      <c r="AD17" s="119"/>
    </row>
    <row r="18" spans="1:34" s="118" customFormat="1" ht="15.75" thickTop="1" x14ac:dyDescent="0.25">
      <c r="A18" s="124"/>
      <c r="B18" s="124"/>
      <c r="C18" s="129"/>
      <c r="D18" s="124"/>
      <c r="E18" s="129"/>
      <c r="F18" s="124"/>
      <c r="G18" s="129"/>
      <c r="H18" s="124"/>
      <c r="I18" s="129"/>
      <c r="J18" s="129"/>
      <c r="K18" s="129"/>
      <c r="L18" s="129"/>
      <c r="M18" s="124"/>
      <c r="N18" s="124"/>
      <c r="O18" s="124"/>
      <c r="P18" s="124"/>
      <c r="Q18" s="130"/>
      <c r="R18" s="130"/>
      <c r="S18" s="135"/>
      <c r="T18" s="130"/>
      <c r="U18" s="136"/>
      <c r="V18" s="130"/>
      <c r="W18" s="136"/>
      <c r="X18" s="130"/>
      <c r="Y18" s="136"/>
      <c r="Z18" s="130"/>
      <c r="AA18" s="137"/>
      <c r="AB18" s="120"/>
      <c r="AC18" s="121"/>
      <c r="AD18" s="188"/>
      <c r="AE18" s="188"/>
      <c r="AF18" s="188"/>
      <c r="AG18" s="188"/>
      <c r="AH18" s="188"/>
    </row>
    <row r="19" spans="1:34" s="172" customFormat="1" ht="15" x14ac:dyDescent="0.25">
      <c r="A19" s="190" t="s">
        <v>117</v>
      </c>
      <c r="B19" s="190"/>
      <c r="C19" s="208">
        <v>7500</v>
      </c>
      <c r="D19" s="171"/>
      <c r="E19" s="116">
        <v>8</v>
      </c>
      <c r="F19" s="171"/>
      <c r="G19" s="208">
        <v>68197</v>
      </c>
      <c r="H19" s="171"/>
      <c r="I19" s="116">
        <v>69</v>
      </c>
      <c r="J19" s="208"/>
      <c r="K19" s="208">
        <v>1</v>
      </c>
      <c r="L19" s="208"/>
      <c r="M19" s="116">
        <v>1</v>
      </c>
      <c r="N19" s="209" t="s">
        <v>96</v>
      </c>
      <c r="O19" s="208">
        <v>0</v>
      </c>
      <c r="P19" s="209"/>
      <c r="Q19" s="116">
        <v>0</v>
      </c>
      <c r="R19" s="123"/>
      <c r="S19" s="208">
        <v>53988755</v>
      </c>
      <c r="T19" s="123"/>
      <c r="U19" s="116">
        <v>53988</v>
      </c>
      <c r="V19" s="123"/>
      <c r="W19" s="116">
        <v>4210995</v>
      </c>
      <c r="X19" s="123"/>
      <c r="Y19" s="116">
        <v>-7649561</v>
      </c>
      <c r="Z19" s="123"/>
      <c r="AA19" s="116">
        <v>-3384500</v>
      </c>
      <c r="AB19" s="170"/>
      <c r="AC19" s="169"/>
      <c r="AD19" s="188"/>
      <c r="AE19" s="188"/>
      <c r="AF19" s="188"/>
      <c r="AG19" s="188"/>
      <c r="AH19" s="188"/>
    </row>
    <row r="20" spans="1:34" s="172" customFormat="1" ht="15" x14ac:dyDescent="0.25">
      <c r="A20" s="171"/>
      <c r="B20" s="171"/>
      <c r="C20" s="208"/>
      <c r="D20" s="171"/>
      <c r="E20" s="116"/>
      <c r="F20" s="171"/>
      <c r="G20" s="208"/>
      <c r="H20" s="171"/>
      <c r="I20" s="116"/>
      <c r="J20" s="208"/>
      <c r="K20" s="208"/>
      <c r="L20" s="208"/>
      <c r="M20" s="116"/>
      <c r="N20" s="210"/>
      <c r="O20" s="208"/>
      <c r="P20" s="210"/>
      <c r="Q20" s="116"/>
      <c r="R20" s="212"/>
      <c r="S20" s="208"/>
      <c r="T20" s="212"/>
      <c r="U20" s="116"/>
      <c r="V20" s="212"/>
      <c r="W20" s="116"/>
      <c r="X20" s="212"/>
      <c r="Y20" s="116"/>
      <c r="Z20" s="212"/>
      <c r="AA20" s="116"/>
      <c r="AB20" s="170"/>
      <c r="AC20" s="169"/>
      <c r="AD20" s="188"/>
      <c r="AE20" s="188"/>
      <c r="AF20" s="188"/>
      <c r="AG20" s="188"/>
      <c r="AH20" s="188"/>
    </row>
    <row r="21" spans="1:34" s="185" customFormat="1" ht="15" x14ac:dyDescent="0.25">
      <c r="A21" s="188" t="s">
        <v>118</v>
      </c>
      <c r="B21" s="186"/>
      <c r="C21" s="208">
        <v>0</v>
      </c>
      <c r="D21" s="209"/>
      <c r="E21" s="208">
        <v>0</v>
      </c>
      <c r="F21" s="209"/>
      <c r="G21" s="208">
        <v>0</v>
      </c>
      <c r="H21" s="209"/>
      <c r="I21" s="208">
        <v>0</v>
      </c>
      <c r="J21" s="208"/>
      <c r="K21" s="208">
        <v>0</v>
      </c>
      <c r="L21" s="208"/>
      <c r="M21" s="208">
        <v>0</v>
      </c>
      <c r="N21" s="210"/>
      <c r="O21" s="208">
        <v>0</v>
      </c>
      <c r="P21" s="210"/>
      <c r="Q21" s="208">
        <v>0</v>
      </c>
      <c r="R21" s="211"/>
      <c r="S21" s="208">
        <v>5420525</v>
      </c>
      <c r="T21" s="211"/>
      <c r="U21" s="208">
        <v>5421</v>
      </c>
      <c r="V21" s="211"/>
      <c r="W21" s="208">
        <v>12234</v>
      </c>
      <c r="X21" s="211"/>
      <c r="Y21" s="208">
        <v>0</v>
      </c>
      <c r="Z21" s="211"/>
      <c r="AA21" s="208">
        <v>17655</v>
      </c>
      <c r="AB21" s="195"/>
      <c r="AC21" s="206"/>
      <c r="AD21" s="188"/>
      <c r="AE21" s="188"/>
      <c r="AF21" s="188"/>
      <c r="AG21" s="188"/>
      <c r="AH21" s="188"/>
    </row>
    <row r="22" spans="1:34" s="185" customFormat="1" ht="12.75" thickBot="1" x14ac:dyDescent="0.25">
      <c r="A22" s="196" t="s">
        <v>103</v>
      </c>
      <c r="B22" s="197"/>
      <c r="C22" s="201">
        <v>0</v>
      </c>
      <c r="D22" s="202"/>
      <c r="E22" s="201">
        <v>0</v>
      </c>
      <c r="F22" s="202"/>
      <c r="G22" s="201">
        <v>0</v>
      </c>
      <c r="H22" s="202"/>
      <c r="I22" s="201">
        <v>0</v>
      </c>
      <c r="J22" s="192"/>
      <c r="K22" s="201">
        <v>0</v>
      </c>
      <c r="L22" s="192"/>
      <c r="M22" s="201">
        <v>0</v>
      </c>
      <c r="N22" s="197"/>
      <c r="O22" s="201">
        <v>0</v>
      </c>
      <c r="P22" s="197"/>
      <c r="Q22" s="201">
        <v>0</v>
      </c>
      <c r="R22" s="203"/>
      <c r="S22" s="201">
        <v>0</v>
      </c>
      <c r="T22" s="203"/>
      <c r="U22" s="201">
        <v>0</v>
      </c>
      <c r="V22" s="203"/>
      <c r="W22" s="201">
        <v>0</v>
      </c>
      <c r="X22" s="203"/>
      <c r="Y22" s="201">
        <v>86475</v>
      </c>
      <c r="Z22" s="203"/>
      <c r="AA22" s="201">
        <v>86475</v>
      </c>
      <c r="AB22" s="195"/>
      <c r="AC22" s="206"/>
      <c r="AD22" s="188"/>
      <c r="AE22" s="188"/>
      <c r="AF22" s="188"/>
      <c r="AG22" s="188"/>
      <c r="AH22" s="188"/>
    </row>
    <row r="23" spans="1:34" s="185" customFormat="1" ht="15.75" thickTop="1" x14ac:dyDescent="0.25">
      <c r="A23" s="186"/>
      <c r="B23" s="186"/>
      <c r="C23" s="192"/>
      <c r="D23" s="186"/>
      <c r="E23" s="192"/>
      <c r="F23" s="186"/>
      <c r="G23" s="192"/>
      <c r="H23" s="186"/>
      <c r="I23" s="192"/>
      <c r="J23" s="192"/>
      <c r="K23" s="192"/>
      <c r="L23" s="192"/>
      <c r="M23" s="186"/>
      <c r="N23" s="186"/>
      <c r="O23" s="186"/>
      <c r="P23" s="186"/>
      <c r="Q23" s="193"/>
      <c r="R23" s="193"/>
      <c r="S23" s="198"/>
      <c r="T23" s="193"/>
      <c r="U23" s="199"/>
      <c r="V23" s="193"/>
      <c r="W23" s="199"/>
      <c r="X23" s="193"/>
      <c r="Y23" s="199"/>
      <c r="Z23" s="193"/>
      <c r="AA23" s="200"/>
      <c r="AB23" s="195"/>
      <c r="AC23" s="206"/>
      <c r="AD23" s="188"/>
      <c r="AE23" s="188"/>
      <c r="AF23" s="188"/>
      <c r="AG23" s="188"/>
      <c r="AH23" s="188"/>
    </row>
    <row r="24" spans="1:34" s="185" customFormat="1" ht="15.75" thickBot="1" x14ac:dyDescent="0.3">
      <c r="A24" s="189" t="s">
        <v>122</v>
      </c>
      <c r="B24" s="189"/>
      <c r="C24" s="204">
        <v>7500</v>
      </c>
      <c r="D24" s="186"/>
      <c r="E24" s="205">
        <v>8</v>
      </c>
      <c r="F24" s="186"/>
      <c r="G24" s="204">
        <v>68197</v>
      </c>
      <c r="H24" s="186"/>
      <c r="I24" s="205">
        <v>69</v>
      </c>
      <c r="J24" s="192"/>
      <c r="K24" s="204">
        <v>1</v>
      </c>
      <c r="L24" s="192"/>
      <c r="M24" s="205">
        <v>1</v>
      </c>
      <c r="N24" s="202" t="s">
        <v>96</v>
      </c>
      <c r="O24" s="204">
        <v>0</v>
      </c>
      <c r="P24" s="202"/>
      <c r="Q24" s="205">
        <v>0</v>
      </c>
      <c r="R24" s="194"/>
      <c r="S24" s="204">
        <v>59409280</v>
      </c>
      <c r="T24" s="194"/>
      <c r="U24" s="205">
        <v>59409</v>
      </c>
      <c r="V24" s="194"/>
      <c r="W24" s="205">
        <v>4223229</v>
      </c>
      <c r="X24" s="194"/>
      <c r="Y24" s="205">
        <v>-7563086</v>
      </c>
      <c r="Z24" s="194"/>
      <c r="AA24" s="205">
        <v>-3280370</v>
      </c>
      <c r="AB24" s="195"/>
      <c r="AC24" s="206"/>
      <c r="AD24" s="188"/>
      <c r="AE24" s="188"/>
      <c r="AF24" s="188"/>
      <c r="AG24" s="188"/>
      <c r="AH24" s="188"/>
    </row>
    <row r="25" spans="1:34" s="150" customFormat="1" ht="15.75" thickTop="1" x14ac:dyDescent="0.25">
      <c r="A25" s="173"/>
      <c r="B25" s="173"/>
      <c r="C25" s="177"/>
      <c r="D25" s="173"/>
      <c r="E25" s="177"/>
      <c r="F25" s="173"/>
      <c r="G25" s="177"/>
      <c r="H25" s="173"/>
      <c r="I25" s="177"/>
      <c r="J25" s="177"/>
      <c r="K25" s="177"/>
      <c r="L25" s="177"/>
      <c r="M25" s="173"/>
      <c r="N25" s="173"/>
      <c r="O25" s="173"/>
      <c r="P25" s="173"/>
      <c r="Q25" s="178"/>
      <c r="R25" s="178"/>
      <c r="S25" s="180"/>
      <c r="T25" s="178"/>
      <c r="U25" s="181"/>
      <c r="V25" s="178"/>
      <c r="W25" s="181"/>
      <c r="X25" s="178"/>
      <c r="Y25" s="181"/>
      <c r="Z25" s="178"/>
      <c r="AA25" s="182"/>
      <c r="AB25" s="179"/>
      <c r="AC25" s="184"/>
      <c r="AD25" s="188"/>
      <c r="AE25" s="188"/>
      <c r="AF25" s="188"/>
      <c r="AG25" s="188"/>
      <c r="AH25" s="188"/>
    </row>
    <row r="26" spans="1:34" s="150" customFormat="1" x14ac:dyDescent="0.2">
      <c r="A26" s="174"/>
      <c r="B26" s="174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4"/>
      <c r="N26" s="174"/>
      <c r="O26" s="174"/>
      <c r="P26" s="174"/>
      <c r="Q26" s="174"/>
      <c r="R26" s="174"/>
      <c r="S26" s="176"/>
      <c r="T26" s="174"/>
      <c r="U26" s="174"/>
      <c r="V26" s="174"/>
      <c r="W26" s="183"/>
      <c r="X26" s="174"/>
      <c r="Y26" s="174"/>
      <c r="Z26" s="174"/>
      <c r="AA26" s="175"/>
      <c r="AB26" s="174"/>
      <c r="AC26" s="174"/>
      <c r="AD26" s="188"/>
      <c r="AE26" s="188"/>
      <c r="AF26" s="188"/>
      <c r="AG26" s="188"/>
      <c r="AH26" s="188"/>
    </row>
    <row r="27" spans="1:34" s="150" customFormat="1" x14ac:dyDescent="0.2">
      <c r="A27" s="235" t="s">
        <v>97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174"/>
      <c r="AC27" s="174"/>
      <c r="AD27" s="188"/>
      <c r="AE27" s="188"/>
      <c r="AF27" s="188"/>
      <c r="AG27" s="188"/>
      <c r="AH27" s="188"/>
    </row>
  </sheetData>
  <mergeCells count="7">
    <mergeCell ref="A27:AA27"/>
    <mergeCell ref="C6:Q6"/>
    <mergeCell ref="S6:U6"/>
    <mergeCell ref="C7:E7"/>
    <mergeCell ref="G7:I7"/>
    <mergeCell ref="K7:M7"/>
    <mergeCell ref="O7: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Statement</vt:lpstr>
      <vt:lpstr>Balance Sheet</vt:lpstr>
      <vt:lpstr>Cash Flows - Final</vt:lpstr>
      <vt:lpstr>Shareholder Equity 2021 - 10K</vt:lpstr>
      <vt:lpstr>Shareholder Equity 2021- 10Q</vt:lpstr>
      <vt:lpstr>Shareholder Equity 2020 - 10Q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Brandstake</dc:creator>
  <cp:lastModifiedBy>Pandey Divya</cp:lastModifiedBy>
  <cp:lastPrinted>2018-03-09T21:37:38Z</cp:lastPrinted>
  <dcterms:created xsi:type="dcterms:W3CDTF">2017-08-01T21:01:57Z</dcterms:created>
  <dcterms:modified xsi:type="dcterms:W3CDTF">2022-04-13T12:47:39Z</dcterms:modified>
</cp:coreProperties>
</file>